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qGl0rCct8LoVGVh1uldTP2x8H0IRcKxnP8z/6AMfDGDCmtWvVX+WdQcXf3aksiZ+JMF5eT0NGqPJQ7LjXJ0uNA==" workbookSaltValue="yTaNQnTsq4tMIULYtyUQ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R20" i="8"/>
  <c r="EP20" i="19"/>
  <c r="BD18" i="13"/>
  <c r="BE17" i="13"/>
  <c r="BF17" i="13"/>
  <c r="AC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K18" i="12"/>
  <c r="J9"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<sst xmlns="http://schemas.openxmlformats.org/spreadsheetml/2006/main" count="2527" uniqueCount="1026">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</sst>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NWT7ocnz7RIBw1myZnCV7clyURtwfZ4ToAw7igQq0JfzlX7t8kFroZY71YXvZRPIPcUbcwkTNS2vDwwwW63tA==" saltValue="z6sQ5dG9OP/m+ICWP/d31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8</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53.188440221694378</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109</v>
      </c>
      <c r="D10" s="224">
        <f>IF(ISNUMBER(Datos!I10),Datos!I10," - ")</f>
        <v>109</v>
      </c>
      <c r="E10" s="225">
        <f>IF(ISNUMBER(Datos!J10),Datos!J10," - ")</f>
        <v>48</v>
      </c>
      <c r="F10" s="225">
        <f>IF(ISNUMBER(Datos!K10),Datos!K10," - ")</f>
        <v>39</v>
      </c>
      <c r="G10" s="1029" t="str">
        <f>IF(Datos!E10&lt;&gt;"",Datos!E10,Datos!D10)</f>
        <v>37</v>
      </c>
      <c r="H10" s="226">
        <f>IF(ISNUMBER(Datos!L10),Datos!L10," - ")</f>
        <v>118</v>
      </c>
      <c r="I10" s="1039" t="str">
        <f>IF(ISNUMBER(Datos!AS10/Datos!BM10),Datos!AS10/Datos!BM10," - ")</f>
        <v xml:space="preserve"> - </v>
      </c>
      <c r="J10" s="1040">
        <f>IF(ISNUMBER(Datos!BY10/Datos!CN10),Datos!BY10/Datos!CN10," - ")</f>
        <v>0</v>
      </c>
      <c r="K10" s="229">
        <f t="shared" ref="K10:K12" si="1">IF(ISNUMBER((E10-F10)/C10),(E10-F10)/C10," - ")</f>
        <v>8.2568807339449546E-2</v>
      </c>
      <c r="L10" s="1020">
        <f>IF(ISNUMBER(NºAsuntos!I10/NºAsuntos!G10),(NºAsuntos!I10/NºAsuntos!G10)*11," - ")</f>
        <v>33.282051282051285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109</v>
      </c>
      <c r="D13" s="1044">
        <f>SUBTOTAL(9,D9:D12)</f>
        <v>109</v>
      </c>
      <c r="E13" s="1045">
        <f>SUBTOTAL(9,E9:E12)</f>
        <v>48</v>
      </c>
      <c r="F13" s="1046">
        <f>SUBTOTAL(9,F9:F12)</f>
        <v>39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5027</v>
      </c>
      <c r="D15" s="224">
        <f>IF(ISNUMBER(IF(D_I="SI",Datos!I15,Datos!I15+Datos!AC15)),IF(D_I="SI",Datos!I15,Datos!I15+Datos!AC15)," - ")</f>
        <v>5011</v>
      </c>
      <c r="E15" s="225">
        <f>IF(ISNUMBER(IF(D_I="SI",Datos!J15,Datos!J15+Datos!AD15)),IF(D_I="SI",Datos!J15,Datos!J15+Datos!AD15)," - ")</f>
        <v>5026</v>
      </c>
      <c r="F15" s="225">
        <f>IF(ISNUMBER(IF(D_I="SI",Datos!K15,Datos!K15+Datos!AE15)),IF(D_I="SI",Datos!K15,Datos!K15+Datos!AE15)," - ")</f>
        <v>4479</v>
      </c>
      <c r="G15" s="1029" t="str">
        <f>IF(Datos!E15&lt;&gt;"",Datos!E15,Datos!D15)</f>
        <v>03</v>
      </c>
      <c r="H15" s="226">
        <f>IF(ISNUMBER(IF(D_I="SI",Datos!L15,Datos!L15+Datos!AF15)),IF(D_I="SI",Datos!L15,Datos!L15+Datos!AF15)," - ")</f>
        <v>5574</v>
      </c>
      <c r="I15" s="1039" t="str">
        <f>IF(ISNUMBER(Datos!AS15/Datos!BM15),Datos!AS15/Datos!BM15," - ")</f>
        <v xml:space="preserve"> - </v>
      </c>
      <c r="J15" s="1040">
        <f>IF(ISNUMBER(Datos!BY15/Datos!CN15),Datos!BY15/Datos!CN15," - ")</f>
        <v>0</v>
      </c>
      <c r="K15" s="229">
        <f t="shared" ref="K15:K18" si="3">IF(ISNUMBER((E15-F15)/C15),(E15-F15)/C15," - ")</f>
        <v>0.10881241296996221</v>
      </c>
      <c r="L15" s="1020">
        <f>IF(ISNUMBER(NºAsuntos!I15/NºAsuntos!G15),(NºAsuntos!I15/NºAsuntos!G15)*11," - ")</f>
        <v>13.68921634293369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496</v>
      </c>
      <c r="D18" s="224">
        <f>IF(ISNUMBER(IF(D_I="SI",Datos!I18,Datos!I18+Datos!AC18)),IF(D_I="SI",Datos!I18,Datos!I18+Datos!AC18)," - ")</f>
        <v>503</v>
      </c>
      <c r="E18" s="225">
        <f>IF(ISNUMBER(IF(D_I="SI",Datos!J18,Datos!J18+Datos!AD18)),IF(D_I="SI",Datos!J18,Datos!J18+Datos!AD18)," - ")</f>
        <v>428</v>
      </c>
      <c r="F18" s="225">
        <f>IF(ISNUMBER(IF(D_I="SI",Datos!K18,Datos!K18+Datos!AE18)),IF(D_I="SI",Datos!K18,Datos!K18+Datos!AE18)," - ")</f>
        <v>484</v>
      </c>
      <c r="G18" s="1029" t="str">
        <f>IF(Datos!E18&lt;&gt;"",Datos!E18,Datos!D18)</f>
        <v>37</v>
      </c>
      <c r="H18" s="226">
        <f>IF(ISNUMBER(IF(D_I="SI",Datos!L18,Datos!L18+Datos!AF18)),IF(D_I="SI",Datos!L18,Datos!L18+Datos!AF18)," - ")</f>
        <v>440</v>
      </c>
      <c r="I18" s="1039" t="str">
        <f>IF(ISNUMBER(Datos!AS18/Datos!BM18),Datos!AS18/Datos!BM18," - ")</f>
        <v xml:space="preserve"> - </v>
      </c>
      <c r="J18" s="1040" t="str">
        <f>IF(ISNUMBER((Datos!BY18+Datos!BZ18)/Datos!CN18),(Datos!BY18+Datos!BZ18)/Datos!CN18," - ")</f>
        <v xml:space="preserve"> - </v>
      </c>
      <c r="K18" s="229">
        <f t="shared" si="3"/>
        <v>-0.11290322580645161</v>
      </c>
      <c r="L18" s="1020">
        <f>IF(ISNUMBER(NºAsuntos!I18/NºAsuntos!G18),(NºAsuntos!I18/NºAsuntos!G18)*11," - ")</f>
        <v>10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5523</v>
      </c>
      <c r="D19" s="1044">
        <f>SUBTOTAL(9,D15:D18)</f>
        <v>5514</v>
      </c>
      <c r="E19" s="1045">
        <f>SUBTOTAL(9,E15:E18)</f>
        <v>5454</v>
      </c>
      <c r="F19" s="1045">
        <f>SUBTOTAL(9,F15:F18)</f>
        <v>4963</v>
      </c>
      <c r="G19" s="1047" t="str">
        <f ca="1">INDIRECT(CONCATENATE("G",ROW()-1))</f>
        <v>37</v>
      </c>
      <c r="H19" s="1048">
        <f ca="1">SUMIF(G$14:G18,G19,H$14:H18)</f>
        <v>440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5632</v>
      </c>
      <c r="D20" s="1066">
        <f>SUBTOTAL(9,D9:D19)</f>
        <v>5623</v>
      </c>
      <c r="E20" s="1067">
        <f>SUBTOTAL(9,E9:E19)</f>
        <v>5502</v>
      </c>
      <c r="F20" s="1067">
        <f>SUBTOTAL(9,F9:F19)</f>
        <v>5002</v>
      </c>
      <c r="G20" s="1068"/>
      <c r="H20" s="1069">
        <f ca="1">SUMIF(B9:B19,"TOTAL",H9:H19)</f>
        <v>440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6rzg8DCI4oV6K4HjyVQvAJ8Iv4dzp9+tFQ+PpRtW2k5iebIcTqy/mPBLQU83IXnEC4kHJB3OLboarw+WwBfYDw==" saltValue="V+8svzV7qSncM000BgBpo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IGThd28JAdPoRjBSetX+WmFjmdFXwgSXVg7rzheUfoIt/oJFKH3H9ebatBtSweHaiZFtV5yT902C3WsQNAUUQ==" saltValue="JOcIoWzdQTCoVC7Plxhe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11718</v>
      </c>
      <c r="J9" s="180">
        <v>2475</v>
      </c>
      <c r="K9" s="180">
        <v>2329</v>
      </c>
      <c r="L9" s="180">
        <v>11894</v>
      </c>
      <c r="M9" s="180">
        <v>664</v>
      </c>
      <c r="N9" s="180">
        <v>1064</v>
      </c>
      <c r="O9" s="180">
        <v>1254</v>
      </c>
      <c r="P9" s="180">
        <v>753</v>
      </c>
      <c r="Q9" s="180">
        <v>537</v>
      </c>
      <c r="R9" s="180">
        <v>13333</v>
      </c>
      <c r="S9" s="180">
        <v>12278</v>
      </c>
      <c r="T9" s="180">
        <v>5343</v>
      </c>
      <c r="U9" s="180">
        <v>3947</v>
      </c>
      <c r="V9" s="180">
        <v>13677</v>
      </c>
      <c r="W9" s="180">
        <v>840</v>
      </c>
      <c r="X9" s="187">
        <v>2028</v>
      </c>
      <c r="Y9" s="190">
        <v>318</v>
      </c>
      <c r="Z9" s="180">
        <v>199</v>
      </c>
      <c r="AA9" s="180">
        <v>197</v>
      </c>
      <c r="AB9" s="180">
        <v>320</v>
      </c>
      <c r="AC9" s="180">
        <v>0</v>
      </c>
      <c r="AD9" s="180">
        <v>0</v>
      </c>
      <c r="AE9" s="180">
        <v>0</v>
      </c>
      <c r="AF9" s="187">
        <v>0</v>
      </c>
      <c r="AG9" s="190">
        <v>289</v>
      </c>
      <c r="AH9" s="180">
        <v>145</v>
      </c>
      <c r="AI9" s="180">
        <v>142</v>
      </c>
      <c r="AJ9" s="191">
        <v>292</v>
      </c>
      <c r="AK9" s="179">
        <v>0</v>
      </c>
      <c r="AL9" s="180">
        <v>0</v>
      </c>
      <c r="AM9" s="180">
        <v>0</v>
      </c>
      <c r="AN9" s="187">
        <v>0</v>
      </c>
      <c r="AO9" s="257">
        <v>8</v>
      </c>
      <c r="AP9" s="153">
        <v>8</v>
      </c>
      <c r="AQ9" s="153">
        <v>8</v>
      </c>
      <c r="AR9" s="192">
        <v>8</v>
      </c>
      <c r="AS9" s="337" t="s">
        <v>763</v>
      </c>
      <c r="AT9" s="194"/>
      <c r="AU9" s="193"/>
      <c r="AV9" s="194"/>
      <c r="AW9" s="193"/>
      <c r="AX9" s="194"/>
      <c r="AY9" s="123">
        <f>IF(ISNUMBER(IF(J_V="SI",S9,S9+AG9)),IF(J_V="SI",S9,S9+AG9)," - ")</f>
        <v>12567</v>
      </c>
      <c r="AZ9" s="123">
        <f>IF(ISNUMBER(IF(J_V="SI",T9,T9+AH9)),IF(J_V="SI",T9,T9+AH9)," - ")</f>
        <v>5488</v>
      </c>
      <c r="BA9" s="124">
        <f>IF(ISNUMBER(IF(J_V="SI",U9,U9+AI9)),IF(J_V="SI",U9,U9+AI9)," - ")</f>
        <v>4089</v>
      </c>
      <c r="BB9" s="124">
        <f>IF(ISNUMBER(IF(J_V="SI",V9,V9+AJ9)),IF(J_V="SI",V9,V9+AJ9)," - ")</f>
        <v>13969</v>
      </c>
      <c r="BC9" s="125">
        <f>IF(ISNUMBER(X9),X9," - ")</f>
        <v>2028</v>
      </c>
      <c r="BD9" s="126">
        <f>IF(ISNUMBER(BA9/AZ9),BA9/AZ9," - ")</f>
        <v>0.74508017492711365</v>
      </c>
      <c r="BE9" s="127">
        <f>IF(ISNUMBER(BB9/BA9),BB9/BA9, " - ")</f>
        <v>3.4162386891660552</v>
      </c>
      <c r="BF9" s="127">
        <f>IF(ISNUMBER(BC9/BA9),BC9/BA9, " - ")</f>
        <v>0.49596478356566398</v>
      </c>
      <c r="BG9" s="195">
        <f>IF(ISNUMBER((AY9+AZ9)/BA9),(AY9+AZ9)/BA9," - ")</f>
        <v>4.4155050134507219</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109</v>
      </c>
      <c r="J10" s="180">
        <v>48</v>
      </c>
      <c r="K10" s="180">
        <v>39</v>
      </c>
      <c r="L10" s="180">
        <v>118</v>
      </c>
      <c r="M10" s="180">
        <v>14</v>
      </c>
      <c r="N10" s="180">
        <v>14</v>
      </c>
      <c r="O10" s="180">
        <v>13</v>
      </c>
      <c r="P10" s="180">
        <v>14</v>
      </c>
      <c r="Q10" s="180">
        <v>6</v>
      </c>
      <c r="R10" s="180">
        <v>50</v>
      </c>
      <c r="S10" s="180">
        <v>98</v>
      </c>
      <c r="T10" s="180">
        <v>47</v>
      </c>
      <c r="U10" s="180">
        <v>36</v>
      </c>
      <c r="V10" s="180">
        <v>109</v>
      </c>
      <c r="W10" s="180">
        <v>18</v>
      </c>
      <c r="X10" s="187">
        <v>23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98</v>
      </c>
      <c r="AZ10" s="129">
        <f t="shared" si="0"/>
        <v>47</v>
      </c>
      <c r="BA10" s="129">
        <f t="shared" si="0"/>
        <v>36</v>
      </c>
      <c r="BB10" s="129">
        <f t="shared" si="0"/>
        <v>109</v>
      </c>
      <c r="BC10" s="125">
        <f t="shared" si="0"/>
        <v>18</v>
      </c>
      <c r="BD10" s="126">
        <f>IF(ISNUMBER(BA10/AZ10),BA10/AZ10," - ")</f>
        <v>0.76595744680851063</v>
      </c>
      <c r="BE10" s="127">
        <f>IF(ISNUMBER(BB10/BA10),BB10/BA10, " - ")</f>
        <v>3.0277777777777777</v>
      </c>
      <c r="BF10" s="127">
        <f>IF(ISNUMBER(BC10/BA10),BC10/BA10, " - ")</f>
        <v>0.5</v>
      </c>
      <c r="BG10" s="195">
        <f>IF(ISNUMBER((AY10+AZ10)/BA10),(AY10+AZ10)/BA10," - ")</f>
        <v>4.0277777777777777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11827</v>
      </c>
      <c r="J13" s="183">
        <f t="shared" si="6"/>
        <v>2523</v>
      </c>
      <c r="K13" s="183">
        <f t="shared" si="6"/>
        <v>2368</v>
      </c>
      <c r="L13" s="183">
        <f t="shared" si="6"/>
        <v>12012</v>
      </c>
      <c r="M13" s="183">
        <f t="shared" si="6"/>
        <v>678</v>
      </c>
      <c r="N13" s="183">
        <f t="shared" si="6"/>
        <v>1078</v>
      </c>
      <c r="O13" s="183">
        <f t="shared" si="6"/>
        <v>1267</v>
      </c>
      <c r="P13" s="183">
        <f t="shared" si="6"/>
        <v>767</v>
      </c>
      <c r="Q13" s="183">
        <f t="shared" si="6"/>
        <v>543</v>
      </c>
      <c r="R13" s="183">
        <f t="shared" si="6"/>
        <v>13383</v>
      </c>
      <c r="S13" s="183">
        <f t="shared" si="6"/>
        <v>12376</v>
      </c>
      <c r="T13" s="183">
        <f t="shared" si="6"/>
        <v>5390</v>
      </c>
      <c r="U13" s="183">
        <f t="shared" si="6"/>
        <v>3983</v>
      </c>
      <c r="V13" s="183">
        <f t="shared" si="6"/>
        <v>13786</v>
      </c>
      <c r="W13" s="183">
        <f t="shared" si="6"/>
        <v>858</v>
      </c>
      <c r="X13" s="183">
        <f t="shared" si="6"/>
        <v>2051</v>
      </c>
      <c r="Y13" s="183">
        <f t="shared" si="6"/>
        <v>318</v>
      </c>
      <c r="Z13" s="183">
        <f t="shared" si="6"/>
        <v>199</v>
      </c>
      <c r="AA13" s="183">
        <f t="shared" si="6"/>
        <v>197</v>
      </c>
      <c r="AB13" s="183">
        <f t="shared" si="6"/>
        <v>320</v>
      </c>
      <c r="AC13" s="183">
        <f t="shared" si="6"/>
        <v>0</v>
      </c>
      <c r="AD13" s="183">
        <f t="shared" si="6"/>
        <v>0</v>
      </c>
      <c r="AE13" s="183">
        <f t="shared" si="6"/>
        <v>0</v>
      </c>
      <c r="AF13" s="183">
        <f>SUBTOTAL(9,AF9:AF12)</f>
        <v>0</v>
      </c>
      <c r="AG13" s="183">
        <f t="shared" ref="AG13:AT13" si="7">SUBTOTAL(9,AG8:AG12)</f>
        <v>289</v>
      </c>
      <c r="AH13" s="183">
        <f t="shared" si="7"/>
        <v>145</v>
      </c>
      <c r="AI13" s="183">
        <f t="shared" si="7"/>
        <v>142</v>
      </c>
      <c r="AJ13" s="183">
        <f t="shared" si="7"/>
        <v>292</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12665</v>
      </c>
      <c r="AZ13" s="183">
        <f>SUBTOTAL(9,AZ8:AZ12)</f>
        <v>5535</v>
      </c>
      <c r="BA13" s="183">
        <f>SUBTOTAL(9,BA8:BA12)</f>
        <v>4125</v>
      </c>
      <c r="BB13" s="183">
        <f>SUBTOTAL(9,BB8:BB12)</f>
        <v>14078</v>
      </c>
      <c r="BC13" s="183">
        <f>SUBTOTAL(9,BC8:BC12)</f>
        <v>2046</v>
      </c>
      <c r="BD13" s="204">
        <f>IF(ISNUMBER(BA13/AZ13),BA13/AZ13," - ")</f>
        <v>0.74525745257452569</v>
      </c>
      <c r="BE13" s="205">
        <f>IF(ISNUMBER(BB13/BA13),BB13/BA13, " - ")</f>
        <v>3.4128484848484848</v>
      </c>
      <c r="BF13" s="205">
        <f>IF(ISNUMBER(BC13/BA13),BC13/BA13, " - ")</f>
        <v>0.496</v>
      </c>
      <c r="BG13" s="206">
        <f>IF(ISNUMBER((AY13+AZ13)/BA13),(AY13+AZ13)/BA13," - ")</f>
        <v>4.4121212121212121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5011</v>
      </c>
      <c r="J15" s="182">
        <v>5026</v>
      </c>
      <c r="K15" s="182">
        <v>4479</v>
      </c>
      <c r="L15" s="182">
        <v>5574</v>
      </c>
      <c r="M15" s="182">
        <v>389</v>
      </c>
      <c r="N15" s="182">
        <v>2900</v>
      </c>
      <c r="O15" s="180">
        <v>0</v>
      </c>
      <c r="P15" s="182">
        <v>94</v>
      </c>
      <c r="Q15" s="182">
        <v>121</v>
      </c>
      <c r="R15" s="182">
        <v>222</v>
      </c>
      <c r="S15" s="182">
        <v>4034</v>
      </c>
      <c r="T15" s="182">
        <v>5055</v>
      </c>
      <c r="U15" s="182">
        <v>4808</v>
      </c>
      <c r="V15" s="182">
        <v>4361</v>
      </c>
      <c r="W15" s="182">
        <v>466</v>
      </c>
      <c r="X15" s="188">
        <v>3482</v>
      </c>
      <c r="Y15" s="201">
        <v>0</v>
      </c>
      <c r="Z15" s="182">
        <v>0</v>
      </c>
      <c r="AA15" s="182">
        <v>0</v>
      </c>
      <c r="AB15" s="182">
        <v>0</v>
      </c>
      <c r="AC15" s="182">
        <v>0</v>
      </c>
      <c r="AD15" s="182">
        <v>116</v>
      </c>
      <c r="AE15" s="182">
        <v>116</v>
      </c>
      <c r="AF15" s="188">
        <v>0</v>
      </c>
      <c r="AG15" s="201">
        <v>0</v>
      </c>
      <c r="AH15" s="182">
        <v>0</v>
      </c>
      <c r="AI15" s="182">
        <v>0</v>
      </c>
      <c r="AJ15" s="202">
        <v>0</v>
      </c>
      <c r="AK15" s="181">
        <v>0</v>
      </c>
      <c r="AL15" s="182">
        <v>49</v>
      </c>
      <c r="AM15" s="182">
        <v>49</v>
      </c>
      <c r="AN15" s="188">
        <v>0</v>
      </c>
      <c r="AO15" s="258">
        <v>5</v>
      </c>
      <c r="AP15" s="154">
        <v>5</v>
      </c>
      <c r="AQ15" s="154">
        <v>5</v>
      </c>
      <c r="AR15" s="154">
        <v>5</v>
      </c>
      <c r="AS15" s="339" t="s">
        <v>520</v>
      </c>
      <c r="AT15" s="202" t="s">
        <v>327</v>
      </c>
      <c r="AU15" s="201"/>
      <c r="AV15" s="202"/>
      <c r="AW15" s="201"/>
      <c r="AX15" s="202"/>
      <c r="AY15" s="128">
        <f t="shared" ref="AY15:BB17" si="9">IF(ISNUMBER(IF(D_I="SI",S15,S15+AK15)),IF(D_I="SI",S15,S15+AK15)," - ")</f>
        <v>4034</v>
      </c>
      <c r="AZ15" s="129">
        <f t="shared" si="9"/>
        <v>5055</v>
      </c>
      <c r="BA15" s="129">
        <f t="shared" si="9"/>
        <v>4808</v>
      </c>
      <c r="BB15" s="129">
        <f t="shared" si="9"/>
        <v>4361</v>
      </c>
      <c r="BC15" s="125">
        <f>IF(ISNUMBER(W15),W15," - ")</f>
        <v>466</v>
      </c>
      <c r="BD15" s="126">
        <f>IF(ISNUMBER(BA15/AZ15),BA15/AZ15," - ")</f>
        <v>0.95113748763600392</v>
      </c>
      <c r="BE15" s="127">
        <f>IF(ISNUMBER(BB15/BA15),BB15/BA15, " - ")</f>
        <v>0.90702995008319465</v>
      </c>
      <c r="BF15" s="127">
        <f>IF(ISNUMBER(BC15/BA15),BC15/BA15, " - ")</f>
        <v>9.6921797004991678E-2</v>
      </c>
      <c r="BG15" s="195">
        <f t="shared" ref="BG15:BG17" si="10">IF(ISNUMBER((AY15+AZ15)/BA15),(AY15+AZ15)/BA15," - ")</f>
        <v>1.8903910149750416</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503</v>
      </c>
      <c r="J18" s="182">
        <v>428</v>
      </c>
      <c r="K18" s="182">
        <v>484</v>
      </c>
      <c r="L18" s="182">
        <v>440</v>
      </c>
      <c r="M18" s="182">
        <v>46</v>
      </c>
      <c r="N18" s="182">
        <v>313</v>
      </c>
      <c r="O18" s="182">
        <v>5</v>
      </c>
      <c r="P18" s="182">
        <v>0</v>
      </c>
      <c r="Q18" s="182">
        <v>17</v>
      </c>
      <c r="R18" s="182">
        <v>24</v>
      </c>
      <c r="S18" s="182">
        <v>579</v>
      </c>
      <c r="T18" s="182">
        <v>541</v>
      </c>
      <c r="U18" s="182">
        <v>531</v>
      </c>
      <c r="V18" s="182">
        <v>589</v>
      </c>
      <c r="W18" s="182">
        <v>59</v>
      </c>
      <c r="X18" s="188">
        <v>248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579</v>
      </c>
      <c r="AZ18" s="129">
        <f t="shared" si="19"/>
        <v>541</v>
      </c>
      <c r="BA18" s="129">
        <f t="shared" si="19"/>
        <v>531</v>
      </c>
      <c r="BB18" s="129">
        <f t="shared" si="19"/>
        <v>589</v>
      </c>
      <c r="BC18" s="125">
        <f>IF(ISNUMBER(W18),W18," - ")</f>
        <v>59</v>
      </c>
      <c r="BD18" s="126">
        <f>IF(ISNUMBER(BA18/AZ18),BA18/AZ18," - ")</f>
        <v>0.98151571164510165</v>
      </c>
      <c r="BE18" s="127">
        <f>IF(ISNUMBER(BB18/BA18),BB18/BA18, " - ")</f>
        <v>1.1092278719397364</v>
      </c>
      <c r="BF18" s="127">
        <f>IF(ISNUMBER(BC18/BA18),BC18/BA18, " - ")</f>
        <v>0.1111111111111111</v>
      </c>
      <c r="BG18" s="195">
        <f>IF(ISNUMBER((AY18+AZ18)/BA18),(AY18+AZ18)/BA18," - ")</f>
        <v>2.1092278719397362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5514</v>
      </c>
      <c r="J19" s="183">
        <f t="shared" si="20"/>
        <v>5454</v>
      </c>
      <c r="K19" s="183">
        <f t="shared" si="20"/>
        <v>4963</v>
      </c>
      <c r="L19" s="183">
        <f t="shared" si="20"/>
        <v>6014</v>
      </c>
      <c r="M19" s="183">
        <f t="shared" si="20"/>
        <v>435</v>
      </c>
      <c r="N19" s="183">
        <f t="shared" si="20"/>
        <v>3213</v>
      </c>
      <c r="O19" s="183">
        <f t="shared" si="20"/>
        <v>5</v>
      </c>
      <c r="P19" s="183">
        <f t="shared" si="20"/>
        <v>94</v>
      </c>
      <c r="Q19" s="183">
        <f t="shared" si="20"/>
        <v>138</v>
      </c>
      <c r="R19" s="183">
        <f t="shared" si="20"/>
        <v>246</v>
      </c>
      <c r="S19" s="183">
        <f t="shared" si="20"/>
        <v>4613</v>
      </c>
      <c r="T19" s="183">
        <f t="shared" si="20"/>
        <v>5596</v>
      </c>
      <c r="U19" s="183">
        <f t="shared" si="20"/>
        <v>5339</v>
      </c>
      <c r="V19" s="183">
        <f t="shared" si="20"/>
        <v>4950</v>
      </c>
      <c r="W19" s="183">
        <f t="shared" si="20"/>
        <v>525</v>
      </c>
      <c r="X19" s="183">
        <f t="shared" si="20"/>
        <v>3730</v>
      </c>
      <c r="Y19" s="183">
        <f t="shared" si="20"/>
        <v>0</v>
      </c>
      <c r="Z19" s="183">
        <f t="shared" si="20"/>
        <v>0</v>
      </c>
      <c r="AA19" s="183">
        <f t="shared" si="20"/>
        <v>0</v>
      </c>
      <c r="AB19" s="183">
        <f t="shared" si="20"/>
        <v>0</v>
      </c>
      <c r="AC19" s="183">
        <f t="shared" si="20"/>
        <v>0</v>
      </c>
      <c r="AD19" s="183">
        <f t="shared" si="20"/>
        <v>116</v>
      </c>
      <c r="AE19" s="183">
        <f t="shared" si="20"/>
        <v>116</v>
      </c>
      <c r="AF19" s="183">
        <f t="shared" si="20"/>
        <v>0</v>
      </c>
      <c r="AG19" s="183">
        <f t="shared" si="20"/>
        <v>0</v>
      </c>
      <c r="AH19" s="183">
        <f t="shared" si="20"/>
        <v>0</v>
      </c>
      <c r="AI19" s="183">
        <f t="shared" si="20"/>
        <v>0</v>
      </c>
      <c r="AJ19" s="183">
        <f t="shared" si="20"/>
        <v>0</v>
      </c>
      <c r="AK19" s="183">
        <f t="shared" si="20"/>
        <v>0</v>
      </c>
      <c r="AL19" s="183">
        <f t="shared" si="20"/>
        <v>49</v>
      </c>
      <c r="AM19" s="183">
        <f t="shared" si="20"/>
        <v>49</v>
      </c>
      <c r="AN19" s="183">
        <f t="shared" si="20"/>
        <v>0</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4613</v>
      </c>
      <c r="AZ19" s="183">
        <f>SUBTOTAL(9,AZ14:AZ18)</f>
        <v>5596</v>
      </c>
      <c r="BA19" s="183">
        <f>SUBTOTAL(9,BA14:BA18)</f>
        <v>5339</v>
      </c>
      <c r="BB19" s="183">
        <f>SUBTOTAL(9,BB14:BB18)</f>
        <v>4950</v>
      </c>
      <c r="BC19" s="183">
        <f>SUBTOTAL(9,BC14:BC18)</f>
        <v>525</v>
      </c>
      <c r="BD19" s="204">
        <f>IF(ISNUMBER(BA19/AZ19),BA19/AZ19," - ")</f>
        <v>0.95407433881343817</v>
      </c>
      <c r="BE19" s="205">
        <f>IF(ISNUMBER(BB19/BA19),BB19/BA19, " - ")</f>
        <v>0.92713991384154337</v>
      </c>
      <c r="BF19" s="205">
        <f>IF(ISNUMBER(BC19/BA19),BC19/BA19, " - ")</f>
        <v>9.8333021165012177E-2</v>
      </c>
      <c r="BG19" s="206">
        <f>IF(ISNUMBER((AY19+AZ19)/BA19),(AY19+AZ19)/BA19," - ")</f>
        <v>1.9121558344259224</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17341</v>
      </c>
      <c r="J20" s="134">
        <f t="shared" si="23"/>
        <v>7977</v>
      </c>
      <c r="K20" s="134">
        <f t="shared" si="23"/>
        <v>7331</v>
      </c>
      <c r="L20" s="134">
        <f t="shared" si="23"/>
        <v>18026</v>
      </c>
      <c r="M20" s="134">
        <f t="shared" si="23"/>
        <v>1113</v>
      </c>
      <c r="N20" s="134">
        <f t="shared" si="23"/>
        <v>4291</v>
      </c>
      <c r="O20" s="134">
        <f t="shared" si="23"/>
        <v>1272</v>
      </c>
      <c r="P20" s="134">
        <f t="shared" si="23"/>
        <v>861</v>
      </c>
      <c r="Q20" s="134">
        <f t="shared" si="23"/>
        <v>681</v>
      </c>
      <c r="R20" s="134">
        <f t="shared" si="23"/>
        <v>13629</v>
      </c>
      <c r="S20" s="134">
        <f t="shared" si="23"/>
        <v>16989</v>
      </c>
      <c r="T20" s="134">
        <f t="shared" si="23"/>
        <v>10986</v>
      </c>
      <c r="U20" s="134">
        <f t="shared" si="23"/>
        <v>9322</v>
      </c>
      <c r="V20" s="134">
        <f t="shared" si="23"/>
        <v>18736</v>
      </c>
      <c r="W20" s="134">
        <f t="shared" si="23"/>
        <v>1383</v>
      </c>
      <c r="X20" s="134">
        <f t="shared" si="23"/>
        <v>5781</v>
      </c>
      <c r="Y20" s="134">
        <f t="shared" si="23"/>
        <v>318</v>
      </c>
      <c r="Z20" s="134">
        <f t="shared" si="23"/>
        <v>199</v>
      </c>
      <c r="AA20" s="134">
        <f t="shared" si="23"/>
        <v>197</v>
      </c>
      <c r="AB20" s="134">
        <f t="shared" si="23"/>
        <v>320</v>
      </c>
      <c r="AC20" s="134">
        <f t="shared" si="23"/>
        <v>0</v>
      </c>
      <c r="AD20" s="134">
        <f t="shared" si="23"/>
        <v>116</v>
      </c>
      <c r="AE20" s="134">
        <f t="shared" si="23"/>
        <v>116</v>
      </c>
      <c r="AF20" s="134">
        <f t="shared" si="23"/>
        <v>0</v>
      </c>
      <c r="AG20" s="134">
        <f t="shared" si="23"/>
        <v>289</v>
      </c>
      <c r="AH20" s="134">
        <f t="shared" si="23"/>
        <v>145</v>
      </c>
      <c r="AI20" s="134">
        <f t="shared" si="23"/>
        <v>142</v>
      </c>
      <c r="AJ20" s="134">
        <f t="shared" si="23"/>
        <v>292</v>
      </c>
      <c r="AK20" s="134">
        <f t="shared" si="23"/>
        <v>0</v>
      </c>
      <c r="AL20" s="134">
        <f t="shared" si="23"/>
        <v>49</v>
      </c>
      <c r="AM20" s="134">
        <f t="shared" si="23"/>
        <v>49</v>
      </c>
      <c r="AN20" s="209">
        <f t="shared" si="23"/>
        <v>0</v>
      </c>
      <c r="AO20" s="210">
        <v>15</v>
      </c>
      <c r="AP20" s="210">
        <v>15</v>
      </c>
      <c r="AQ20" s="210">
        <v>15</v>
      </c>
      <c r="AR20" s="210">
        <v>15</v>
      </c>
      <c r="AS20" s="152">
        <f t="shared" si="23"/>
        <v>0</v>
      </c>
      <c r="AT20" s="152">
        <f t="shared" si="23"/>
        <v>0</v>
      </c>
      <c r="AU20" s="210"/>
      <c r="AV20" s="211"/>
      <c r="AW20" s="210"/>
      <c r="AX20" s="211"/>
      <c r="AY20" s="133">
        <f>SUBTOTAL(9,AY9:AY19)</f>
        <v>17278</v>
      </c>
      <c r="AZ20" s="134">
        <f>SUBTOTAL(9,AZ9:AZ19)</f>
        <v>11131</v>
      </c>
      <c r="BA20" s="134">
        <f>SUBTOTAL(9,BA9:BA19)</f>
        <v>9464</v>
      </c>
      <c r="BB20" s="134">
        <f>SUBTOTAL(9,BB9:BB19)</f>
        <v>19028</v>
      </c>
      <c r="BC20" s="135">
        <f>SUBTOTAL(9,BC9:BC19)</f>
        <v>2571</v>
      </c>
      <c r="BD20" s="212">
        <f>IF(ISNUMBER(BA20/AZ20),BA20/AZ20," - ")</f>
        <v>0.85023807384781247</v>
      </c>
      <c r="BE20" s="209">
        <f>IF(ISNUMBER(BB20/BA20),BB20/BA20, " - ")</f>
        <v>2.010566356720203</v>
      </c>
      <c r="BF20" s="209">
        <f>IF(ISNUMBER(BC20/BA20),BC20/BA20, " - ")</f>
        <v>0.27166103127641589</v>
      </c>
      <c r="BG20" s="135">
        <f>IF(ISNUMBER((AY20+AZ20)/BA20),(AY20+AZ20)/BA20," - ")</f>
        <v>3.0017962806424343</v>
      </c>
      <c r="BH20" s="210">
        <f>SUBTOTAL(9,BH9:BH19)</f>
        <v>15</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0xSn6HATQjqnoPh1t7ojCaZ9Bj4G+nlXVTaKXD2Ldruxzhi+5hPbzFtaAFG4kK4KRMP3Gso6z08G20V9LYPAw==" saltValue="2tkWtwmqikhhvbqysYsUc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eW3vkPdsy9KfizP3C0Ii5XfvWRUI7wcCA3AeF1vaEiXXqnnlHc5buNsVdQ7XgV5j+lWpc/ZFQPMod2H7TlG0g==" saltValue="WlWGie1N2826lyrg4oGQk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MARBELLA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8</v>
      </c>
      <c r="B9" s="1275" t="s">
        <v>247</v>
      </c>
      <c r="C9" s="1200" t="str">
        <f>Datos!A9</f>
        <v>Sección Civil del T.I</v>
      </c>
      <c r="D9" s="1276"/>
      <c r="E9" s="1226">
        <f>IF(ISNUMBER(Datos!AQ9),Datos!AQ9," - ")</f>
        <v>8</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199</v>
      </c>
      <c r="O9" s="1247"/>
      <c r="P9" s="1247"/>
      <c r="Q9" s="1215">
        <f>IF(ISNUMBER(Datos!P9),Datos!P9,0)</f>
        <v>753</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537</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320</v>
      </c>
      <c r="AI9" s="1247" t="str">
        <f>IF(ISNUMBER(Datos!CD9),Datos!CD9,"-")</f>
        <v>-</v>
      </c>
      <c r="AJ9" s="1247" t="str">
        <f>IF(ISNUMBER(Datos!EN9),Datos!EN9," - ")</f>
        <v xml:space="preserve"> - </v>
      </c>
      <c r="AK9" s="1247"/>
      <c r="AL9" s="1258"/>
      <c r="AM9" s="1248">
        <f>IF(ISNUMBER(Datos!R9),Datos!R9," - ")</f>
        <v>13333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664</v>
      </c>
      <c r="BD9" s="1218">
        <f>IF(ISNUMBER(Datos!N9),Datos!N9," - ")</f>
        <v>1064</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0.94465220643231118</v>
      </c>
      <c r="BH9" s="1226">
        <f>IF(ISNUMBER(((IF(J_V="SI",Datos!L9/Datos!K9,(Datos!L9+Datos!AB9)/(Datos!K9+Datos!AA9)))*11)/factor_trimestre),((IF(J_V="SI",Datos!L9/Datos!K9,(Datos!L9+Datos!AB9)/(Datos!K9+Datos!AA9)))*11)/factor_trimestre," - ")</f>
        <v>14.505938242280285</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1.6467179995425782E-2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109</v>
      </c>
      <c r="G10" s="1246">
        <f>IF(ISNUMBER(Datos!I10),Datos!I10," - ")</f>
        <v>109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39</v>
      </c>
      <c r="AC10" s="1215">
        <f>IF(ISNUMBER(Datos!Q10),Datos!Q10," - ")</f>
        <v>6</v>
      </c>
      <c r="AD10" s="1247"/>
      <c r="AE10" s="1262"/>
      <c r="AF10" s="1245">
        <f>IF(ISNUMBER(Datos!L10),Datos!L10,"-")</f>
        <v>118</v>
      </c>
      <c r="AG10" s="1247"/>
      <c r="AH10" s="1247"/>
      <c r="AI10" s="1247"/>
      <c r="AJ10" s="1247"/>
      <c r="AK10" s="1247"/>
      <c r="AL10" s="1258"/>
      <c r="AM10" s="1248">
        <f>IF(ISNUMBER(Datos!R10),Datos!R10," - ")</f>
        <v>50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14</v>
      </c>
      <c r="BE10" s="1218" t="str">
        <f>IF(ISNUMBER(Datos!BW10),Datos!BW10," - ")</f>
        <v xml:space="preserve"> - </v>
      </c>
      <c r="BF10" s="1217" t="str">
        <f>IF(ISNUMBER(Datos!BX10),Datos!BX10," - ")</f>
        <v xml:space="preserve"> - </v>
      </c>
      <c r="BG10" s="1223">
        <f>IF(ISNUMBER(Datos!K10/Datos!J10),Datos!K10/Datos!J10," - ")</f>
        <v>0.8125</v>
      </c>
      <c r="BH10" s="1226">
        <f>IF(ISNUMBER(((Datos!L10/Datos!K10)*11)/factor_trimestre),((Datos!L10/Datos!K10)*11)/factor_trimestre," - ")</f>
        <v>9.0769230769230784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0.19047619047619047</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109</v>
      </c>
      <c r="G13" s="1391">
        <f t="shared" si="0"/>
        <v>109</v>
      </c>
      <c r="H13" s="1392">
        <f t="shared" si="0"/>
        <v>0</v>
      </c>
      <c r="I13" s="1391">
        <f t="shared" si="0"/>
        <v>0</v>
      </c>
      <c r="J13" s="1383">
        <f t="shared" si="0"/>
        <v>0</v>
      </c>
      <c r="K13" s="1383">
        <f t="shared" si="0"/>
        <v>0</v>
      </c>
      <c r="L13" s="1392">
        <f t="shared" si="0"/>
        <v>0</v>
      </c>
      <c r="M13" s="1392">
        <f t="shared" si="0"/>
        <v>0</v>
      </c>
      <c r="N13" s="1392">
        <f t="shared" si="0"/>
        <v>199</v>
      </c>
      <c r="O13" s="1393">
        <f t="shared" si="0"/>
        <v>0</v>
      </c>
      <c r="P13" s="1393">
        <f t="shared" si="0"/>
        <v>0</v>
      </c>
      <c r="Q13" s="1392">
        <f t="shared" si="0"/>
        <v>767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39</v>
      </c>
      <c r="AC13" s="1392">
        <f t="shared" si="1"/>
        <v>543</v>
      </c>
      <c r="AD13" s="1392">
        <f t="shared" si="1"/>
        <v>0</v>
      </c>
      <c r="AE13" s="1392">
        <f t="shared" si="1"/>
        <v>0</v>
      </c>
      <c r="AF13" s="1392">
        <f t="shared" si="1"/>
        <v>118</v>
      </c>
      <c r="AG13" s="1392">
        <f t="shared" si="1"/>
        <v>0</v>
      </c>
      <c r="AH13" s="1392">
        <f t="shared" si="1"/>
        <v>320</v>
      </c>
      <c r="AI13" s="1392">
        <f t="shared" si="1"/>
        <v>0</v>
      </c>
      <c r="AJ13" s="1392">
        <f t="shared" si="1"/>
        <v>0</v>
      </c>
      <c r="AK13" s="1392">
        <f t="shared" si="1"/>
        <v>0</v>
      </c>
      <c r="AL13" s="1392">
        <f t="shared" si="1"/>
        <v>0</v>
      </c>
      <c r="AM13" s="1392">
        <f t="shared" si="1"/>
        <v>13383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678</v>
      </c>
      <c r="BD13" s="1392">
        <f t="shared" si="1"/>
        <v>1078</v>
      </c>
      <c r="BE13" s="1392">
        <f t="shared" si="1"/>
        <v>0</v>
      </c>
      <c r="BF13" s="1392">
        <f t="shared" si="1"/>
        <v>0</v>
      </c>
      <c r="BG13" s="1392">
        <f>IF(ISNUMBER(Datos!K13/Datos!J13),Datos!K13/Datos!J13," - ")</f>
        <v>0.93856520015854139</v>
      </c>
      <c r="BH13" s="1396">
        <f>IF(ISNUMBER(((Datos!L13/Datos!K13)*11)/factor_trimestre),((Datos!L13/Datos!K13)*11)/factor_trimestre," - ")</f>
        <v>15.217905405405405</v>
      </c>
      <c r="BI13" s="1392">
        <f>IF(ISNUMBER('Resol  Asuntos'!D13/NºAsuntos!G13),'Resol  Asuntos'!D13/NºAsuntos!G13," - ")</f>
        <v>0.26432748538011697</v>
      </c>
      <c r="BJ13" s="1392" t="str">
        <f>IF(ISNUMBER(Datos!CI13/Datos!CJ13),Datos!CI13/Datos!CJ13," - ")</f>
        <v xml:space="preserve"> - </v>
      </c>
      <c r="BK13" s="1392">
        <f>SUBTOTAL(9,BK8:BK12)</f>
        <v>0</v>
      </c>
      <c r="BL13" s="1392">
        <f>IF(ISNUMBER((I13-AB13+L13)/(F13)),(I13-AB13+L13)/(F13)," - ")</f>
        <v>-0.3577981651376147</v>
      </c>
      <c r="BM13" s="1397">
        <f>SUBTOTAL(9,BM9:BM12)</f>
        <v>0.20694337047161626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5027</v>
      </c>
      <c r="G15" s="1335">
        <f>IF(ISNUMBER(IF(D_I="SI",Datos!I15,Datos!I15+Datos!AC15)),IF(D_I="SI",Datos!I15,Datos!I15+Datos!AC15)," - ")</f>
        <v>5011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94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4479</v>
      </c>
      <c r="AC15" s="1215">
        <f>IF(ISNUMBER(Datos!Q15),Datos!Q15," - ")</f>
        <v>121</v>
      </c>
      <c r="AD15" s="1247"/>
      <c r="AE15" s="1262"/>
      <c r="AF15" s="1333">
        <f>IF(ISNUMBER(IF(D_I="SI",Datos!L15,Datos!L15+Datos!AF15)),IF(D_I="SI",Datos!L15,Datos!L15+Datos!AF15)," - ")</f>
        <v>5574</v>
      </c>
      <c r="AG15" s="1247"/>
      <c r="AH15" s="1247"/>
      <c r="AI15" s="1247"/>
      <c r="AJ15" s="1247"/>
      <c r="AK15" s="1247"/>
      <c r="AL15" s="1258"/>
      <c r="AM15" s="1248">
        <f>IF(ISNUMBER(Datos!R15),Datos!R15," - ")</f>
        <v>222</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389</v>
      </c>
      <c r="BD15" s="1218">
        <f>IF(ISNUMBER(Datos!N15),Datos!N15," - ")</f>
        <v>2900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0.89116593712693992</v>
      </c>
      <c r="BH15" s="1226">
        <f>IF(ISNUMBER(((IF(D_I="SI",Datos!L15/Datos!K15,(Datos!L15+Datos!AF15)/(Datos!K15+Datos!AE15)))*11)/factor_trimestre),((IF(D_I="SI",Datos!L15/Datos!K15,(Datos!L15+Datos!AF15)/(Datos!K15+Datos!AE15)))*11)/factor_trimestre," - ")</f>
        <v>3.7334226389819158</v>
      </c>
      <c r="BI15" s="1223">
        <f>IF(ISNUMBER('Resol  Asuntos'!D15/NºAsuntos!G15),'Resol  Asuntos'!D15/NºAsuntos!G15," - ")</f>
        <v>8.6849743246260325E-2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503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484</v>
      </c>
      <c r="AC18" s="1215">
        <f>IF(ISNUMBER(Datos!Q18),Datos!Q18," - ")</f>
        <v>17</v>
      </c>
      <c r="AD18" s="1247"/>
      <c r="AE18" s="1262"/>
      <c r="AF18" s="1245">
        <f>IF(ISNUMBER(Datos!L18),Datos!L18,"-")</f>
        <v>440</v>
      </c>
      <c r="AG18" s="1247"/>
      <c r="AH18" s="1247"/>
      <c r="AI18" s="1247"/>
      <c r="AJ18" s="1247"/>
      <c r="AK18" s="1247"/>
      <c r="AL18" s="1258"/>
      <c r="AM18" s="1248">
        <f>IF(ISNUMBER(Datos!R18),Datos!R18," - ")</f>
        <v>24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46</v>
      </c>
      <c r="BD18" s="1218">
        <f>IF(ISNUMBER(Datos!N18),Datos!N18," - ")</f>
        <v>313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1.1308411214953271</v>
      </c>
      <c r="BH18" s="1226">
        <f>IF(ISNUMBER(((IF(D_I="SI",Datos!L18/Datos!K18,(Datos!L18+Datos!AF18)/(Datos!K18+Datos!AE18)))*11)/factor_trimestre),((IF(D_I="SI",Datos!L18/Datos!K18,(Datos!L18+Datos!AF18)/(Datos!K18+Datos!AE18)))*11)/factor_trimestre," - ")</f>
        <v>2.7272727272727275</v>
      </c>
      <c r="BI18" s="1223">
        <f>IF(ISNUMBER('Resol  Asuntos'!D18/NºAsuntos!G18),'Resol  Asuntos'!D18/NºAsuntos!G18," - ")</f>
        <v>9.5041322314049589E-2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5027</v>
      </c>
      <c r="G19" s="1391">
        <f>SUBTOTAL(9,G15:G18)</f>
        <v>5514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4963</v>
      </c>
      <c r="AC19" s="1392">
        <f t="shared" si="4"/>
        <v>138</v>
      </c>
      <c r="AD19" s="1392">
        <f t="shared" si="4"/>
        <v>0</v>
      </c>
      <c r="AE19" s="1392">
        <f t="shared" si="4"/>
        <v>0</v>
      </c>
      <c r="AF19" s="1392">
        <f t="shared" si="4"/>
        <v>6014</v>
      </c>
      <c r="AG19" s="1392">
        <f t="shared" si="4"/>
        <v>0</v>
      </c>
      <c r="AH19" s="1392">
        <f t="shared" si="4"/>
        <v>0</v>
      </c>
      <c r="AI19" s="1392">
        <f t="shared" si="4"/>
        <v>0</v>
      </c>
      <c r="AJ19" s="1392">
        <f t="shared" si="4"/>
        <v>0</v>
      </c>
      <c r="AK19" s="1392">
        <f t="shared" si="4"/>
        <v>0</v>
      </c>
      <c r="AL19" s="1392">
        <f t="shared" si="4"/>
        <v>0</v>
      </c>
      <c r="AM19" s="1392">
        <f t="shared" si="4"/>
        <v>246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435</v>
      </c>
      <c r="BD19" s="1392">
        <f t="shared" si="4"/>
        <v>3213</v>
      </c>
      <c r="BE19" s="1392">
        <f t="shared" si="4"/>
        <v>0</v>
      </c>
      <c r="BF19" s="1392">
        <f t="shared" si="4"/>
        <v>0</v>
      </c>
      <c r="BG19" s="1392">
        <f>IF(ISNUMBER(Datos!K19/Datos!J19),Datos!K19/Datos!J19," - ")</f>
        <v>0.90997433076640999</v>
      </c>
      <c r="BH19" s="1396">
        <f>IF(ISNUMBER(((Datos!L19/Datos!K19)*11)/factor_trimestre),((Datos!L19/Datos!K19)*11)/factor_trimestre," - ")</f>
        <v>3.6353012290953055</v>
      </c>
      <c r="BI19" s="1392">
        <f>SUBTOTAL(9,BI15:BI18)</f>
        <v>0.18189106556030993</v>
      </c>
      <c r="BJ19" s="1392">
        <f>SUBTOTAL(9,BJ15:BJ18)</f>
        <v>0</v>
      </c>
      <c r="BK19" s="1392">
        <f>SUBTOTAL(9,BK15:BK18)</f>
        <v>0</v>
      </c>
      <c r="BL19" s="1392">
        <f>IF(ISNUMBER((I19-AB19+L19)/(F19)),(I19-AB19+L19)/(F19)," - ")</f>
        <v>-0.98726874875671378</v>
      </c>
      <c r="BM19" s="1398">
        <f>IF(ISNUMBER((Datos!P19-Datos!Q19)/(Datos!R19-Datos!P19+Datos!Q19)),(Datos!P19-Datos!Q19)/(Datos!R19-Datos!P19+Datos!Q19)," - ")</f>
        <v>-0.15172413793103448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17</v>
      </c>
      <c r="F20" s="1367">
        <f t="shared" si="6"/>
        <v>5136</v>
      </c>
      <c r="G20" s="1367">
        <f t="shared" si="6"/>
        <v>5623</v>
      </c>
      <c r="H20" s="1369">
        <f t="shared" si="6"/>
        <v>0</v>
      </c>
      <c r="I20" s="1367">
        <f t="shared" si="6"/>
        <v>0</v>
      </c>
      <c r="J20" s="1369">
        <f t="shared" si="6"/>
        <v>0</v>
      </c>
      <c r="K20" s="1369">
        <f t="shared" si="6"/>
        <v>0</v>
      </c>
      <c r="L20" s="1386">
        <f t="shared" si="6"/>
        <v>0</v>
      </c>
      <c r="M20" s="1386">
        <f t="shared" si="6"/>
        <v>0</v>
      </c>
      <c r="N20" s="1386">
        <f t="shared" si="6"/>
        <v>199</v>
      </c>
      <c r="O20" s="1386">
        <f t="shared" si="6"/>
        <v>0</v>
      </c>
      <c r="P20" s="1386">
        <f t="shared" si="6"/>
        <v>0</v>
      </c>
      <c r="Q20" s="1369">
        <f t="shared" si="6"/>
        <v>861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5002</v>
      </c>
      <c r="AC20" s="1368">
        <f t="shared" si="7"/>
        <v>681</v>
      </c>
      <c r="AD20" s="1368">
        <f t="shared" si="7"/>
        <v>0</v>
      </c>
      <c r="AE20" s="1368">
        <f t="shared" si="7"/>
        <v>0</v>
      </c>
      <c r="AF20" s="1371">
        <f t="shared" si="7"/>
        <v>6132</v>
      </c>
      <c r="AG20" s="1371">
        <f t="shared" si="7"/>
        <v>0</v>
      </c>
      <c r="AH20" s="1371">
        <f t="shared" si="7"/>
        <v>320</v>
      </c>
      <c r="AI20" s="1371">
        <f t="shared" si="7"/>
        <v>0</v>
      </c>
      <c r="AJ20" s="1368">
        <f t="shared" si="7"/>
        <v>0</v>
      </c>
      <c r="AK20" s="1371">
        <f t="shared" si="7"/>
        <v>0</v>
      </c>
      <c r="AL20" s="1371">
        <f t="shared" si="7"/>
        <v>0</v>
      </c>
      <c r="AM20" s="1371">
        <f t="shared" si="7"/>
        <v>13629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1113</v>
      </c>
      <c r="BD20" s="1367">
        <f t="shared" si="7"/>
        <v>4291</v>
      </c>
      <c r="BE20" s="1367">
        <f t="shared" si="7"/>
        <v>0</v>
      </c>
      <c r="BF20" s="1373">
        <f t="shared" si="7"/>
        <v>0</v>
      </c>
      <c r="BG20" s="1404">
        <f>IF(ISNUMBER(Datos!K20/Datos!J20),Datos!K20/Datos!J20," - ")</f>
        <v>0.9190171743763319</v>
      </c>
      <c r="BH20" s="1404">
        <f>IF(ISNUMBER(((Datos!L20/Datos!K20)*11)/factor_trimestre),((Datos!L20/Datos!K20)*11)/factor_trimestre," - ")</f>
        <v>7.3766198335834128</v>
      </c>
      <c r="BI20" s="1362">
        <f>IF(ISNUMBER(Datos!J20/Datos!I20),Datos!J20/Datos!I20," - ")</f>
        <v>0.46000807335217114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-0.97390965732087231</v>
      </c>
      <c r="BM20" s="1387">
        <f>IF(ISNUMBER((Datos!P20-Datos!Q20+R20)/(Datos!R20-Datos!P20+Datos!Q20-R20)),(Datos!P20-Datos!Q20+R20)/(Datos!R20-Datos!P20+Datos!Q20-R20)," - ")</f>
        <v>1.3383894713361589E-2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2249.1999999999998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3.8064273129653858</v>
      </c>
      <c r="F22" s="1298">
        <f>IF(ISNUMBER(STDEV(F8:F19)),STDEV(F8:F19),"-")</f>
        <v>2839.4086238745795</v>
      </c>
      <c r="G22" s="1299">
        <f>IF(ISNUMBER(STDEV(G8:G19)),STDEV(G8:G19),"-")</f>
        <v>2761.185651128877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2495.7015446563319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288.99550169509558</v>
      </c>
      <c r="BD22" s="1298"/>
      <c r="BE22" s="1298">
        <f>IF(ISNUMBER(STDEV(BE8:BE19)),STDEV(BE8:BE19),"-")</f>
        <v>0</v>
      </c>
      <c r="BF22" s="1303">
        <f>IF(ISNUMBER(STDEV(BF8:BF19)),STDEV(BF8:BF19),"-")</f>
        <v>0</v>
      </c>
      <c r="BG22" s="1360">
        <f>IF(ISNUMBER(STDEV(BG8:BG19)),STDEV(BG8:BG19),"-")</f>
        <v>0.10579354602409018</v>
      </c>
      <c r="BH22" s="1361">
        <f>IF(ISNUMBER(STDEV(BH8:BH19)),STDEV(BH8:BH19),"-")</f>
        <v>5.6658106932053833</v>
      </c>
      <c r="BI22" s="1224">
        <f>IF(ISNUMBER(STDEV(BI8:BI19)),STDEV(BI8:BI19),"-")</f>
        <v>8.3463939363075945E-2</v>
      </c>
      <c r="BJ22" s="1219" t="str">
        <f>IF(ISNUMBER(BL22/BM22),BL22/BM22," - ")</f>
        <v xml:space="preserve"> - </v>
      </c>
      <c r="BK22" s="1320"/>
      <c r="BL22" s="1306">
        <f>IF(ISNUMBER(STDEV(BL8:BL19)),STDEV(BL8:BL19),"-")</f>
        <v>0.44510291823451864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mAbY4F9GEAyJRBGhWggmVWyViF/TaV+OR9uBnL4srSy6yoBjd7vWVJi+YCmo4AaJzMNvYXof1pAi2PXUbAzZw==" saltValue="2gDE/mXn/J9rqL9kssrsa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MARBELLA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753</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537</v>
      </c>
      <c r="AA9" s="331" t="str">
        <f>IF(ISNUMBER(IF(J_V="SI",Datos!L9,Datos!L9+Datos!AB9)-IF(Monitorios="SI",Datos!CD9,0)),
                          IF(J_V="SI",Datos!L9,Datos!L9+Datos!AB9)-IF(Monitorios="SI",Datos!CD9,0),
                          " - ")</f>
        <v xml:space="preserve"> - </v>
      </c>
      <c r="AB9" s="333"/>
      <c r="AC9" s="333"/>
      <c r="AD9" s="483"/>
      <c r="AE9" s="483">
        <f>IF(ISNUMBER(Datos!R9),Datos!R9," - ")</f>
        <v>13333</v>
      </c>
      <c r="AF9" s="228" t="str">
        <f>IF(ISNUMBER(Datos!BV9),Datos!BV9," - ")</f>
        <v xml:space="preserve"> - </v>
      </c>
      <c r="AG9" s="224" t="str">
        <f>IF(ISNUMBER(Datos!DV9),Datos!DV9," - ")</f>
        <v xml:space="preserve"> - </v>
      </c>
      <c r="AH9" s="297"/>
      <c r="AI9" s="226"/>
      <c r="AJ9" s="224">
        <f>IF(ISNUMBER(Datos!M9),Datos!M9," - ")</f>
        <v>664</v>
      </c>
      <c r="AK9" s="228">
        <f>IF(ISNUMBER(Datos!N9),Datos!N9," - ")</f>
        <v>1064</v>
      </c>
      <c r="AL9" s="228" t="str">
        <f>IF(ISNUMBER(Datos!BW9),Datos!BW9," - ")</f>
        <v xml:space="preserve"> - </v>
      </c>
      <c r="AM9" s="227" t="str">
        <f>IF(ISNUMBER(Datos!BX9),Datos!BX9," - ")</f>
        <v xml:space="preserve"> - </v>
      </c>
      <c r="AN9" s="242"/>
      <c r="AO9" s="259">
        <f>IF(ISNUMBER(((NºAsuntos!I9/NºAsuntos!G9)*11)/factor_trimestre),((NºAsuntos!I9/NºAsuntos!G9)*11)/factor_trimestre," - ")</f>
        <v>14.505938242280285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1.6467179995425782E-2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109</v>
      </c>
      <c r="G10" s="224">
        <f>IF(ISNUMBER(Datos!I10),Datos!I10," - ")</f>
        <v>109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39</v>
      </c>
      <c r="Z10" s="617">
        <f>IF(ISNUMBER(Datos!Q10),Datos!Q10," - ")</f>
        <v>6</v>
      </c>
      <c r="AA10" s="331">
        <f>IF(ISNUMBER(Datos!L10),Datos!L10,"-")</f>
        <v>118</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14</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9.0769230769230784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0.19047619047619047</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109</v>
      </c>
      <c r="G13" s="895">
        <f>SUBTOTAL(9,G8:G12)</f>
        <v>109</v>
      </c>
      <c r="H13" s="905"/>
      <c r="I13" s="895">
        <f t="shared" ref="I13:N13" si="0">SUBTOTAL(9,I8:I12)</f>
        <v>0</v>
      </c>
      <c r="J13" s="864">
        <f t="shared" si="0"/>
        <v>0</v>
      </c>
      <c r="K13" s="905">
        <f t="shared" si="0"/>
        <v>0</v>
      </c>
      <c r="L13" s="905">
        <f t="shared" si="0"/>
        <v>0</v>
      </c>
      <c r="M13" s="905">
        <f t="shared" si="0"/>
        <v>0</v>
      </c>
      <c r="N13" s="905">
        <f t="shared" si="0"/>
        <v>767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39</v>
      </c>
      <c r="Z13" s="904">
        <f t="shared" si="2"/>
        <v>543</v>
      </c>
      <c r="AA13" s="897">
        <f t="shared" si="2"/>
        <v>118</v>
      </c>
      <c r="AB13" s="897">
        <f t="shared" si="2"/>
        <v>0</v>
      </c>
      <c r="AC13" s="897">
        <f t="shared" si="2"/>
        <v>0</v>
      </c>
      <c r="AD13" s="897">
        <f t="shared" si="2"/>
        <v>0</v>
      </c>
      <c r="AE13" s="897">
        <f t="shared" si="2"/>
        <v>13383</v>
      </c>
      <c r="AF13" s="905">
        <f t="shared" si="2"/>
        <v>0</v>
      </c>
      <c r="AG13" s="905">
        <f t="shared" si="2"/>
        <v>0</v>
      </c>
      <c r="AH13" s="905">
        <f t="shared" si="2"/>
        <v>0</v>
      </c>
      <c r="AI13" s="905">
        <f t="shared" si="2"/>
        <v>0</v>
      </c>
      <c r="AJ13" s="905">
        <f t="shared" si="2"/>
        <v>678</v>
      </c>
      <c r="AK13" s="905">
        <f t="shared" si="2"/>
        <v>1078</v>
      </c>
      <c r="AL13" s="905">
        <f t="shared" si="2"/>
        <v>0</v>
      </c>
      <c r="AM13" s="905">
        <f t="shared" si="2"/>
        <v>0</v>
      </c>
      <c r="AN13" s="905">
        <f t="shared" si="2"/>
        <v>0</v>
      </c>
      <c r="AO13" s="901">
        <f>IF(ISNUMBER(((NºAsuntos!I13/NºAsuntos!G13)*11)/factor_trimestre),((NºAsuntos!I13/NºAsuntos!G13)*11)/factor_trimestre," - ")</f>
        <v>14.423391812865498</v>
      </c>
      <c r="AP13" s="907" t="str">
        <f>IF(ISNUMBER(Datos!CI13/Datos!CJ13),Datos!CI13/Datos!CJ13," - ")</f>
        <v xml:space="preserve"> - </v>
      </c>
      <c r="AQ13" s="923">
        <f t="shared" ref="AQ13:AV13" si="3">SUBTOTAL(9,AQ9:AQ12)</f>
        <v>0</v>
      </c>
      <c r="AR13" s="923">
        <f t="shared" si="3"/>
        <v>0.20694337047161626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5027</v>
      </c>
      <c r="G15" s="224">
        <f>IF(ISNUMBER(IF(D_I="SI",Datos!I15,Datos!I15+Datos!AC15)),IF(D_I="SI",Datos!I15,Datos!I15+Datos!AC15)," - ")</f>
        <v>5011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4479</v>
      </c>
      <c r="Z15" s="617">
        <f>IF(ISNUMBER(Datos!Q15),Datos!Q15," - ")</f>
        <v>121</v>
      </c>
      <c r="AA15" s="331">
        <f>IF(ISNUMBER(IF(D_I="SI",Datos!L15,Datos!L15+Datos!AF15)),IF(D_I="SI",Datos!L15,Datos!L15+Datos!AF15)," - ")</f>
        <v>5574</v>
      </c>
      <c r="AB15" s="333"/>
      <c r="AC15" s="333"/>
      <c r="AD15" s="483"/>
      <c r="AE15" s="483">
        <f>IF(ISNUMBER(Datos!R15),Datos!R15," - ")</f>
        <v>222</v>
      </c>
      <c r="AF15" s="228" t="str">
        <f>IF(ISNUMBER(Datos!BV15),Datos!BV15," - ")</f>
        <v xml:space="preserve"> - </v>
      </c>
      <c r="AG15" s="224"/>
      <c r="AH15" s="297"/>
      <c r="AI15" s="226"/>
      <c r="AJ15" s="224">
        <f>IF(ISNUMBER(Datos!M15),Datos!M15," - ")</f>
        <v>389</v>
      </c>
      <c r="AK15" s="228">
        <f>IF(ISNUMBER(Datos!N15),Datos!N15," - ")</f>
        <v>2900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3.7334226389819158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503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484</v>
      </c>
      <c r="Z18" s="617">
        <f>IF(ISNUMBER(Datos!Q18),Datos!Q18," - ")</f>
        <v>17</v>
      </c>
      <c r="AA18" s="331">
        <f>IF(ISNUMBER(Datos!L18),Datos!L18,"-")</f>
        <v>440</v>
      </c>
      <c r="AB18" s="333"/>
      <c r="AC18" s="333"/>
      <c r="AD18" s="483"/>
      <c r="AE18" s="483">
        <f>IF(ISNUMBER(Datos!R18),Datos!R18," - ")</f>
        <v>24</v>
      </c>
      <c r="AF18" s="228" t="str">
        <f>IF(ISNUMBER(Datos!BV18),Datos!BV18," - ")</f>
        <v xml:space="preserve"> - </v>
      </c>
      <c r="AG18" s="224" t="str">
        <f>IF(ISNUMBER(Datos!DV18),Datos!DV18," - ")</f>
        <v xml:space="preserve"> - </v>
      </c>
      <c r="AH18" s="297"/>
      <c r="AI18" s="226"/>
      <c r="AJ18" s="224">
        <f>IF(ISNUMBER(Datos!M18),Datos!M18," - ")</f>
        <v>46</v>
      </c>
      <c r="AK18" s="228">
        <f>IF(ISNUMBER(Datos!N18),Datos!N18," - ")</f>
        <v>313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2.7272727272727275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5027</v>
      </c>
      <c r="G19" s="895">
        <f>SUBTOTAL(9,G15:G18)</f>
        <v>5514</v>
      </c>
      <c r="H19" s="927">
        <f>SUBTOTAL(9,H15:H18)</f>
        <v>0</v>
      </c>
      <c r="I19" s="908">
        <f>SUBTOTAL(9,I15:I18)</f>
        <v>0</v>
      </c>
      <c r="J19" s="864">
        <f>SUBTOTAL(9,J14:J18)</f>
        <v>0</v>
      </c>
      <c r="K19" s="927">
        <f t="shared" ref="K19:S19" si="4">SUBTOTAL(9,K15:K18)</f>
        <v>0</v>
      </c>
      <c r="L19" s="927">
        <f t="shared" si="4"/>
        <v>0</v>
      </c>
      <c r="M19" s="927">
        <f t="shared" si="4"/>
        <v>0</v>
      </c>
      <c r="N19" s="927">
        <f t="shared" si="4"/>
        <v>94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4963</v>
      </c>
      <c r="Z19" s="927">
        <f t="shared" si="5"/>
        <v>138</v>
      </c>
      <c r="AA19" s="927">
        <f t="shared" si="5"/>
        <v>6014</v>
      </c>
      <c r="AB19" s="927">
        <f t="shared" si="5"/>
        <v>0</v>
      </c>
      <c r="AC19" s="927">
        <f t="shared" si="5"/>
        <v>0</v>
      </c>
      <c r="AD19" s="927">
        <f t="shared" si="5"/>
        <v>0</v>
      </c>
      <c r="AE19" s="927">
        <f t="shared" si="5"/>
        <v>246</v>
      </c>
      <c r="AF19" s="927">
        <f t="shared" si="5"/>
        <v>0</v>
      </c>
      <c r="AG19" s="927">
        <f t="shared" si="5"/>
        <v>0</v>
      </c>
      <c r="AH19" s="927">
        <f t="shared" si="5"/>
        <v>0</v>
      </c>
      <c r="AI19" s="927">
        <f t="shared" si="5"/>
        <v>0</v>
      </c>
      <c r="AJ19" s="927">
        <f t="shared" si="5"/>
        <v>435</v>
      </c>
      <c r="AK19" s="927">
        <f t="shared" si="5"/>
        <v>3213</v>
      </c>
      <c r="AL19" s="927">
        <f t="shared" si="5"/>
        <v>0</v>
      </c>
      <c r="AM19" s="927">
        <f t="shared" si="5"/>
        <v>0</v>
      </c>
      <c r="AN19" s="927">
        <f t="shared" si="5"/>
        <v>0</v>
      </c>
      <c r="AO19" s="929">
        <f>IF(ISNUMBER(((NºAsuntos!I19/NºAsuntos!G19)*11)/factor_trimestre),((NºAsuntos!I19/NºAsuntos!G19)*11)/factor_trimestre," - ")</f>
        <v>3.6353012290953055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17</v>
      </c>
      <c r="F20" s="817">
        <f t="shared" si="7"/>
        <v>5136</v>
      </c>
      <c r="G20" s="817">
        <f t="shared" si="7"/>
        <v>5623</v>
      </c>
      <c r="H20" s="818">
        <f t="shared" si="7"/>
        <v>0</v>
      </c>
      <c r="I20" s="817">
        <f t="shared" si="7"/>
        <v>0</v>
      </c>
      <c r="J20" s="819">
        <f t="shared" si="7"/>
        <v>0</v>
      </c>
      <c r="K20" s="817">
        <f t="shared" si="7"/>
        <v>0</v>
      </c>
      <c r="L20" s="820">
        <f t="shared" si="7"/>
        <v>0</v>
      </c>
      <c r="M20" s="817">
        <f t="shared" si="7"/>
        <v>0</v>
      </c>
      <c r="N20" s="818">
        <f t="shared" si="7"/>
        <v>861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5002</v>
      </c>
      <c r="Z20" s="824">
        <f t="shared" si="8"/>
        <v>681</v>
      </c>
      <c r="AA20" s="825">
        <f t="shared" si="8"/>
        <v>6132</v>
      </c>
      <c r="AB20" s="825">
        <f t="shared" si="8"/>
        <v>0</v>
      </c>
      <c r="AC20" s="825">
        <f t="shared" si="8"/>
        <v>0</v>
      </c>
      <c r="AD20" s="826">
        <f t="shared" si="8"/>
        <v>0</v>
      </c>
      <c r="AE20" s="826">
        <f t="shared" si="8"/>
        <v>13629</v>
      </c>
      <c r="AF20" s="827">
        <f t="shared" si="8"/>
        <v>0</v>
      </c>
      <c r="AG20" s="828">
        <f t="shared" si="8"/>
        <v>0</v>
      </c>
      <c r="AH20" s="829">
        <f t="shared" si="8"/>
        <v>0</v>
      </c>
      <c r="AI20" s="827">
        <f t="shared" si="8"/>
        <v>0</v>
      </c>
      <c r="AJ20" s="817">
        <f t="shared" si="8"/>
        <v>1113</v>
      </c>
      <c r="AK20" s="817">
        <f t="shared" si="8"/>
        <v>4291</v>
      </c>
      <c r="AL20" s="817">
        <f t="shared" si="8"/>
        <v>0</v>
      </c>
      <c r="AM20" s="830">
        <f t="shared" si="8"/>
        <v>0</v>
      </c>
      <c r="AN20" s="820">
        <f>IF(ISNUMBER(Datos!K20/Datos!J20),Datos!K20/Datos!J20," - ")</f>
        <v>0.9190171743763319</v>
      </c>
      <c r="AO20" s="820">
        <f>IF(ISNUMBER(FIND("06",Criterios!A8,1)),(IF(ISNUMBER(((Datos!R20/Datos!Q20)*11)/factor_trimestre),((Datos!R20/Datos!Q20)*11)/factor_trimestre," - ")),(IF(ISNUMBER(((Datos!L20/Datos!K20)*11)/factor_trimestre),((Datos!L20/Datos!K20)*11)/factor_trimestre," - ")))</f>
        <v>7.3766198335834128</v>
      </c>
      <c r="AP20" s="831" t="str">
        <f>IF(ISNUMBER(Datos!CI20/Datos!CJ20),Datos!CI20/Datos!CJ20," - ")</f>
        <v xml:space="preserve"> - </v>
      </c>
      <c r="AQ20" s="831">
        <f>IF(OR(ISNUMBER(FIND("01",Criterios!A8,1)),ISNUMBER(FIND("02",Criterios!A8,1)),ISNUMBER(FIND("03",Criterios!A8,1)),ISNUMBER(FIND("04",Criterios!A8,1))),(J20-Y20+K20)/(F20-K20),(I20-Y20+K20)/(F20-K20))</f>
        <v>-0.97390965732087231</v>
      </c>
      <c r="AR20" s="831">
        <f>IF(ISNUMBER((Datos!P20-Datos!Q20+O20)/(Datos!R20-Datos!P20+Datos!Q20-O20)),(Datos!P20-Datos!Q20+O20)/(Datos!R20-Datos!P20+Datos!Q20-O20)," - ")</f>
        <v>1.3383894713361589E-2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2249.1999999999998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2839.4086238745795</v>
      </c>
      <c r="G22" s="551">
        <f>IF(ISNUMBER(STDEV(G8:G19)),STDEV(G8:G19),"-")</f>
        <v>2761.185651128877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288.99550169509558</v>
      </c>
      <c r="AK22" s="251"/>
      <c r="AL22" s="251">
        <f>IF(ISNUMBER(STDEV(AL8:AL19)),STDEV(AL8:AL19),"-")</f>
        <v>0</v>
      </c>
      <c r="AM22" s="253">
        <f>IF(ISNUMBER(STDEV(AM8:AM19)),STDEV(AM8:AM19),"-")</f>
        <v>0</v>
      </c>
      <c r="AN22" s="538">
        <f>IF(ISNUMBER(STDEV(AN8:AN19)),STDEV(AN8:AN19),"-")</f>
        <v>0</v>
      </c>
      <c r="AO22" s="539">
        <f>IF(ISNUMBER(STDEV(AO8:AO19)),STDEV(AO8:AO19),"-")</f>
        <v>5.4735938146210099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6pPaECBtU69IXVbVZlrpUtxYjRKTz8yPIGbXhwbe2Lu4cmYxzsL9EXGyAPlyLl76GaTq6pD86XAIPn2eBr4Kg==" saltValue="49enZz8W4pDY/PYyvdsr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M/BWBr8qT7CHNs2RKbQXNb/Z26w7yxcd23gQGi1VPIYiv3jTst6WUiyE0sbhZSUBxhzlw6+Lg8gTB8x0d+55w==" saltValue="d+w4kkLNSj1u5S9noH/7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CDLDt11u0HdoXfUQIePxepiREf2Hy2FHb8GE1Fm5sMUfqtqPpEwByw+sRF2WtJyJVV5XOElJtixtkD4SLphA==" saltValue="NMqyxlGGHYNqoCuvGDCg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MARBELLA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0.26432748538011697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0.18690775736626872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wXLzTp3DwSB7uJWus43/Efz/2Ecg9/AntpiQZW4P8pke11dL+WJbezn3me7coEUcLR/kRuBiopv8iUwgi9OQ==" saltValue="dK/7ENN6CWYkvcFbhsZdI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Rk/HBRSpXigCCYP/dH98TVddCeDzuruIRA1a6diya0d/ST8i5hjKW1vj6EnvsCtcXmjVyRF9DboQiAg8bzGeA==" saltValue="2vtsntY5XV8OiTPnpVIl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MARBELLA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8</v>
      </c>
      <c r="C9" s="402">
        <f>IF(ISNUMBER(IF(J_V="SI",Datos!I9,Datos!I9+Datos!Y9)),IF(J_V="SI",Datos!I9,Datos!I9+Datos!Y9)," - ")</f>
        <v>12036</v>
      </c>
      <c r="D9" s="403">
        <f>IF(ISNUMBER(C9/Datos!BH9),C9/Datos!BH9," - ")</f>
        <v>1504.5</v>
      </c>
      <c r="E9" s="402">
        <f>IF(ISNUMBER(IF(J_V="SI",Datos!J9,Datos!J9+Datos!Z9)),IF(J_V="SI",Datos!J9,Datos!J9+Datos!Z9)," - ")</f>
        <v>2674</v>
      </c>
      <c r="F9" s="403">
        <f>IF(ISNUMBER(E9/B9),E9/B9," - ")</f>
        <v>334.25</v>
      </c>
      <c r="G9" s="402">
        <f>IF(ISNUMBER(IF(J_V="SI",Datos!K9,Datos!K9+Datos!AA9)),IF(J_V="SI",Datos!K9,Datos!K9+Datos!AA9)," - ")</f>
        <v>2526</v>
      </c>
      <c r="H9" s="403">
        <f>IF(ISNUMBER(G9/B9),G9/B9," - ")</f>
        <v>315.75</v>
      </c>
      <c r="I9" s="402">
        <f>IF(ISNUMBER(IF(J_V="SI",Datos!L9,Datos!L9+Datos!AB9)),IF(J_V="SI",Datos!L9,Datos!L9+Datos!AB9)," - ")</f>
        <v>12214</v>
      </c>
      <c r="J9" s="403">
        <f>IF(ISNUMBER(I9/B9),I9/B9," - ")</f>
        <v>1526.75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109</v>
      </c>
      <c r="D10" s="403">
        <f>IF(ISNUMBER(C10/Datos!BH10),C10/Datos!BH10," - ")</f>
        <v>109</v>
      </c>
      <c r="E10" s="402">
        <f>IF(ISNUMBER(Datos!J10),Datos!J10," - ")</f>
        <v>48</v>
      </c>
      <c r="F10" s="403">
        <f>IF(ISNUMBER(E10/B10),E10/B10," - ")</f>
        <v>24</v>
      </c>
      <c r="G10" s="402">
        <f>IF(ISNUMBER(Datos!K10),Datos!K10," - ")</f>
        <v>39</v>
      </c>
      <c r="H10" s="403">
        <f>IF(ISNUMBER(G10/B10),G10/B10," - ")</f>
        <v>19.5</v>
      </c>
      <c r="I10" s="402">
        <f>IF(ISNUMBER(Datos!L10),Datos!L10," - ")</f>
        <v>118</v>
      </c>
      <c r="J10" s="403">
        <f>IF(ISNUMBER(I10/B10),I10/B10," - ")</f>
        <v>59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12145</v>
      </c>
      <c r="D13" s="847" t="str">
        <f>IF(ISNUMBER(C13/Datos!BI13),C13/Datos!BI13," - ")</f>
        <v xml:space="preserve"> - </v>
      </c>
      <c r="E13" s="846">
        <f>SUBTOTAL(9,E8:E12)</f>
        <v>2722</v>
      </c>
      <c r="F13" s="847">
        <f>IF(ISNUMBER(E13/B13),E13/B13," - ")</f>
        <v>272.2</v>
      </c>
      <c r="G13" s="846">
        <f>SUBTOTAL(9,G8:G12)</f>
        <v>2565</v>
      </c>
      <c r="H13" s="847">
        <f>IF(ISNUMBER(G13/B13),G13/B13," - ")</f>
        <v>256.5</v>
      </c>
      <c r="I13" s="846">
        <f>SUBTOTAL(9,I8:I12)</f>
        <v>12332</v>
      </c>
      <c r="J13" s="847">
        <f>IF(ISNUMBER(I13/B13),I13/B13," - ")</f>
        <v>1233.2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5011</v>
      </c>
      <c r="D15" s="403">
        <f>IF(ISNUMBER(C15/Datos!BH15),C15/Datos!BH15," - ")</f>
        <v>1002.2</v>
      </c>
      <c r="E15" s="402">
        <f>IF(ISNUMBER(IF(D_I="SI",Datos!J15,Datos!J15+Datos!AD15)),IF(D_I="SI",Datos!J15,Datos!J15+Datos!AD15)," - ")</f>
        <v>5026</v>
      </c>
      <c r="F15" s="403">
        <f>IF(ISNUMBER(E15/B15),E15/B15," - ")</f>
        <v>1005.2</v>
      </c>
      <c r="G15" s="402">
        <f>IF(ISNUMBER(IF(D_I="SI",Datos!K15,Datos!K15+Datos!AE15)),IF(D_I="SI",Datos!K15,Datos!K15+Datos!AE15)," - ")</f>
        <v>4479</v>
      </c>
      <c r="H15" s="403">
        <f>IF(ISNUMBER(G15/B15),G15/B15," - ")</f>
        <v>895.8</v>
      </c>
      <c r="I15" s="402">
        <f>IF(ISNUMBER(IF(D_I="SI",Datos!L15,Datos!L15+Datos!AF15)),IF(D_I="SI",Datos!L15,Datos!L15+Datos!AF15)," - ")</f>
        <v>5574</v>
      </c>
      <c r="J15" s="403">
        <f>IF(ISNUMBER(I15/B15),I15/B15," - ")</f>
        <v>1114.8</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503</v>
      </c>
      <c r="D18" s="403">
        <f>IF(ISNUMBER(C18/Datos!BH18),C18/Datos!BH18," - ")</f>
        <v>503</v>
      </c>
      <c r="E18" s="402">
        <f>IF(ISNUMBER(IF(D_I="SI",Datos!J18,Datos!J18+Datos!AD18)),IF(D_I="SI",Datos!J18,Datos!J18+Datos!AD18)," - ")</f>
        <v>428</v>
      </c>
      <c r="F18" s="403">
        <f>IF(ISNUMBER(E18/B18),E18/B18," - ")</f>
        <v>214</v>
      </c>
      <c r="G18" s="402">
        <f>IF(ISNUMBER(IF(D_I="SI",Datos!K18,Datos!K18+Datos!AE18)),IF(D_I="SI",Datos!K18,Datos!K18+Datos!AE18)," - ")</f>
        <v>484</v>
      </c>
      <c r="H18" s="403">
        <f>IF(ISNUMBER(G18/B18),G18/B18," - ")</f>
        <v>242</v>
      </c>
      <c r="I18" s="402">
        <f>IF(ISNUMBER(IF(D_I="SI",Datos!L18,Datos!L18+Datos!AF18)),IF(D_I="SI",Datos!L18,Datos!L18+Datos!AF18)," - ")</f>
        <v>440</v>
      </c>
      <c r="J18" s="403">
        <f>IF(ISNUMBER(I18/B18),I18/B18," - ")</f>
        <v>220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5514</v>
      </c>
      <c r="D19" s="847" t="str">
        <f>IF(ISNUMBER(C19/Datos!BI19),C19/Datos!BI19," - ")</f>
        <v xml:space="preserve"> - </v>
      </c>
      <c r="E19" s="846">
        <f>SUBTOTAL(9,E14:E18)</f>
        <v>5454</v>
      </c>
      <c r="F19" s="847">
        <f>IF(ISNUMBER(E19/B19),E19/B19," - ")</f>
        <v>779.14285714285711</v>
      </c>
      <c r="G19" s="846">
        <f>SUBTOTAL(9,G14:G18)</f>
        <v>4963</v>
      </c>
      <c r="H19" s="847">
        <f>IF(ISNUMBER(G19/B19),G19/B19," - ")</f>
        <v>709</v>
      </c>
      <c r="I19" s="846">
        <f>SUBTOTAL(9,I14:I18)</f>
        <v>6014</v>
      </c>
      <c r="J19" s="847">
        <f>IF(ISNUMBER(I19/B19),I19/B19," - ")</f>
        <v>859.14285714285711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17659</v>
      </c>
      <c r="D20" s="792" t="str">
        <f>IF(ISNUMBER(C20/Datos!BI20),C20/Datos!BI20," - ")</f>
        <v xml:space="preserve"> - </v>
      </c>
      <c r="E20" s="791">
        <f>SUBTOTAL(9,E9:E19)</f>
        <v>8176</v>
      </c>
      <c r="F20" s="792">
        <f>IF(ISNUMBER(E20/B20),E20/B20," - ")</f>
        <v>545.06666666666672</v>
      </c>
      <c r="G20" s="791">
        <f>SUBTOTAL(9,G9:G19)</f>
        <v>7528</v>
      </c>
      <c r="H20" s="792">
        <f>IF(ISNUMBER(G20/B20),G20/B20," - ")</f>
        <v>501.86666666666667</v>
      </c>
      <c r="I20" s="791">
        <f>SUBTOTAL(9,I9:I19)</f>
        <v>18346</v>
      </c>
      <c r="J20" s="792">
        <f>IF(ISNUMBER(I20/B20),I20/B20," - ")</f>
        <v>1223.0666666666666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RtJ72TEkhHLUidkZ3x00L97b6dW/GCDxqIFOkFTZ++xWJZci5rj+fsKiRko8ZCMfC4sAb41GbsX692Jy/CToA==" saltValue="Q+yW6E4DcjVRKI+K6qifi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MARBELLA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8</v>
      </c>
      <c r="B9" s="500" t="s">
        <v>247</v>
      </c>
      <c r="C9" s="159" t="str">
        <f>Datos!A9</f>
        <v>Sección Civil del T.I</v>
      </c>
      <c r="D9" s="501"/>
      <c r="E9" s="679">
        <f>IF(ISNUMBER(Datos!AQ9),Datos!AQ9," - ")</f>
        <v>8</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109</v>
      </c>
      <c r="G10" s="681">
        <f>IF(ISNUMBER(Datos!I10),Datos!I10," - ")</f>
        <v>109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39</v>
      </c>
      <c r="AC10" s="680" t="str">
        <f>IF(ISNUMBER(IF(D_I="SI",DatosP!K18,DatosP!K18+DatosP!AE18)),IF(D_I="SI",DatosP!K18,DatosP!K18+DatosP!AE18)," - ")</f>
        <v xml:space="preserve"> - </v>
      </c>
      <c r="AD10" s="682"/>
      <c r="AE10" s="682"/>
      <c r="AF10" s="685">
        <f>IF(ISNUMBER(Datos!L10),Datos!L10,"-")</f>
        <v>118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14</v>
      </c>
      <c r="AN10" s="687">
        <f>IF(ISNUMBER(Datos!BW10+DatosP!BW18),Datos!BW10+DatosP!BW18," - ")</f>
        <v>0</v>
      </c>
      <c r="AO10" s="688">
        <f>IF(ISNUMBER(Datos!BX10+DatosP!BX18),Datos!BX10+DatosP!BX18," - ")</f>
        <v>0</v>
      </c>
      <c r="AP10" s="690">
        <f>IF(ISNUMBER(((Datos!L10/Datos!K10)*11)/factor_trimestre),((Datos!L10/Datos!K10)*11)/factor_trimestre," - ")</f>
        <v>9.0769230769230784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109</v>
      </c>
      <c r="G13" s="933">
        <f t="shared" si="0"/>
        <v>109</v>
      </c>
      <c r="H13" s="933">
        <f t="shared" si="0"/>
        <v>0</v>
      </c>
      <c r="I13" s="935">
        <f t="shared" si="0"/>
        <v>0</v>
      </c>
      <c r="J13" s="934">
        <f t="shared" si="0"/>
        <v>0</v>
      </c>
      <c r="K13" s="934">
        <f t="shared" si="0"/>
        <v>0</v>
      </c>
      <c r="L13" s="936">
        <f t="shared" si="0"/>
        <v>0</v>
      </c>
      <c r="M13" s="936">
        <f t="shared" si="0"/>
        <v>0</v>
      </c>
      <c r="N13" s="934">
        <f t="shared" si="0"/>
        <v>14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39</v>
      </c>
      <c r="AC13" s="934">
        <f t="shared" si="1"/>
        <v>0</v>
      </c>
      <c r="AD13" s="934">
        <f t="shared" si="1"/>
        <v>0</v>
      </c>
      <c r="AE13" s="934">
        <f t="shared" si="1"/>
        <v>0</v>
      </c>
      <c r="AF13" s="934">
        <f t="shared" si="1"/>
        <v>118</v>
      </c>
      <c r="AG13" s="934">
        <f t="shared" si="1"/>
        <v>0</v>
      </c>
      <c r="AH13" s="934">
        <f t="shared" si="1"/>
        <v>0</v>
      </c>
      <c r="AI13" s="934">
        <f t="shared" si="1"/>
        <v>0</v>
      </c>
      <c r="AJ13" s="934">
        <f t="shared" si="1"/>
        <v>0</v>
      </c>
      <c r="AK13" s="934">
        <f t="shared" si="1"/>
        <v>0</v>
      </c>
      <c r="AL13" s="934">
        <f t="shared" si="1"/>
        <v>14</v>
      </c>
      <c r="AM13" s="934">
        <f t="shared" si="1"/>
        <v>14</v>
      </c>
      <c r="AN13" s="934">
        <f t="shared" si="1"/>
        <v>0</v>
      </c>
      <c r="AO13" s="934">
        <f t="shared" si="1"/>
        <v>0</v>
      </c>
      <c r="AP13" s="939">
        <f>IF(ISNUMBER(((Datos!L13/Datos!K13)*11)/factor_trimestre),((Datos!L13/Datos!K13)*11)/factor_trimestre," - ")</f>
        <v>15.217905405405405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-0.3577981651376147</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3.6353012290953055</v>
      </c>
      <c r="AQ19" s="939">
        <f>IF(ISNUMBER(((Datos!M19/Datos!L19)*11)/factor_trimestre),((Datos!M19/Datos!L19)*11)/factor_trimestre," - ")</f>
        <v>0.21699368141004327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-0.15172413793103448</v>
      </c>
      <c r="AW19" s="941">
        <f>IF(ISNUMBER((Datos!Q19-Datos!R19)/(Datos!S19-Datos!Q19+Datos!R19)),(Datos!Q19-Datos!R19)/(Datos!S19-Datos!Q19+Datos!R19)," - ")</f>
        <v>-2.2876509214149545E-2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109</v>
      </c>
      <c r="G20" s="946">
        <f t="shared" si="4"/>
        <v>109</v>
      </c>
      <c r="H20" s="946">
        <f t="shared" si="4"/>
        <v>0</v>
      </c>
      <c r="I20" s="947">
        <f t="shared" si="4"/>
        <v>0</v>
      </c>
      <c r="J20" s="948">
        <f t="shared" si="4"/>
        <v>0</v>
      </c>
      <c r="K20" s="948">
        <f t="shared" si="4"/>
        <v>0</v>
      </c>
      <c r="L20" s="948">
        <f t="shared" si="4"/>
        <v>0</v>
      </c>
      <c r="M20" s="948">
        <f t="shared" si="4"/>
        <v>0</v>
      </c>
      <c r="N20" s="947">
        <f t="shared" si="4"/>
        <v>14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39</v>
      </c>
      <c r="AC20" s="952">
        <f t="shared" si="5"/>
        <v>0</v>
      </c>
      <c r="AD20" s="952">
        <f t="shared" si="5"/>
        <v>0</v>
      </c>
      <c r="AE20" s="952">
        <f t="shared" si="5"/>
        <v>0</v>
      </c>
      <c r="AF20" s="953">
        <f t="shared" si="5"/>
        <v>118</v>
      </c>
      <c r="AG20" s="953">
        <f t="shared" si="5"/>
        <v>0</v>
      </c>
      <c r="AH20" s="953">
        <f t="shared" si="5"/>
        <v>0</v>
      </c>
      <c r="AI20" s="953">
        <f t="shared" si="5"/>
        <v>0</v>
      </c>
      <c r="AJ20" s="954">
        <f t="shared" si="5"/>
        <v>0</v>
      </c>
      <c r="AK20" s="954">
        <f t="shared" si="5"/>
        <v>0</v>
      </c>
      <c r="AL20" s="946">
        <f t="shared" si="5"/>
        <v>14</v>
      </c>
      <c r="AM20" s="946">
        <f t="shared" si="5"/>
        <v>14</v>
      </c>
      <c r="AN20" s="946">
        <f t="shared" si="5"/>
        <v>0</v>
      </c>
      <c r="AO20" s="946">
        <f t="shared" si="5"/>
        <v>0</v>
      </c>
      <c r="AP20" s="946">
        <f>IF(ISNUMBER(((Datos!L20/Datos!K20)*11)/factor_trimestre),((Datos!L20/Datos!K20)*11)/factor_trimestre," - ")</f>
        <v>7.3766198335834128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-0.3577981651376147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1.3383894713361589E-2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72.666666666666671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4.5018514709691022</v>
      </c>
      <c r="F22" s="733">
        <f>IF(ISNUMBER(STDEV(F8:F19)),STDEV(F8:F19),"-")</f>
        <v>62.931179341669207</v>
      </c>
      <c r="G22" s="734">
        <f>IF(ISNUMBER(STDEV(G8:G19)),STDEV(G8:G19),"-")</f>
        <v>62.931179341669207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22.516660498395403</v>
      </c>
      <c r="AC22" s="735">
        <f>IF(ISNUMBER(STDEV(AC8:AC19)),STDEV(AC8:AC19),"-")</f>
        <v>0</v>
      </c>
      <c r="AD22" s="738"/>
      <c r="AE22" s="738"/>
      <c r="AF22" s="738"/>
      <c r="AG22" s="738"/>
      <c r="AH22" s="738"/>
      <c r="AI22" s="738"/>
      <c r="AJ22" s="739">
        <f>IF(ISNUMBER(STDEV(AJ8:AJ19)),STDEV(AJ8:AJ19),"-")</f>
        <v>0</v>
      </c>
      <c r="AK22" s="741"/>
      <c r="AL22" s="733">
        <f>IF(ISNUMBER(STDEV(AL8:AL19)),STDEV(AL8:AL19),"-")</f>
        <v>8.0829037686547611</v>
      </c>
      <c r="AM22" s="733"/>
      <c r="AN22" s="733">
        <f>IF(ISNUMBER(STDEV(AN8:AN19)),STDEV(AN8:AN19),"-")</f>
        <v>0</v>
      </c>
      <c r="AO22" s="739">
        <f>IF(ISNUMBER(STDEV(AO8:AO19)),STDEV(AO8:AO19),"-")</f>
        <v>0</v>
      </c>
      <c r="AP22" s="776">
        <f>IF(ISNUMBER(STDEV(AP8:AP19)),STDEV(AP8:AP19),"-")</f>
        <v>5.7948199828031024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7a4ZYa5pGpRET/M1w68TgxRXAajjwOfO3fnge0Xt4xJQE/CgjhyGdu66v9UjdFjBWtrVoy1GY+M7Zc7kcL3gQ==" saltValue="0PrZyJ8CH8S16IzlYxyP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MARBELLA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8</v>
      </c>
      <c r="B9" s="500" t="s">
        <v>247</v>
      </c>
      <c r="C9" s="159" t="str">
        <f>Datos!A9</f>
        <v>Sección Civil del T.I</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199</v>
      </c>
      <c r="O9" s="333"/>
      <c r="P9" s="333"/>
      <c r="Q9" s="225">
        <f>IF(ISNUMBER(Datos!P9),Datos!P9,0)</f>
        <v>753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537</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320</v>
      </c>
      <c r="AI9" s="224" t="str">
        <f>IF(ISNUMBER(Datos!CD9),Datos!CD9,"-")</f>
        <v>-</v>
      </c>
      <c r="AJ9" s="1214" t="str">
        <f>IF(ISNUMBER(Datos!EN9),Datos!EN9," - ")</f>
        <v xml:space="preserve"> - </v>
      </c>
      <c r="AK9" s="333"/>
      <c r="AL9" s="478"/>
      <c r="AM9" s="1214">
        <f>IF(ISNUMBER(Datos!R9),Datos!R9," - ")</f>
        <v>13333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664</v>
      </c>
      <c r="BD9" s="228">
        <f>IF(ISNUMBER(Datos!N9),Datos!N9," - ")</f>
        <v>1064</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0.94465220643231118</v>
      </c>
      <c r="BH9" s="1214">
        <f>IF(ISNUMBER(((IF(J_V="SI",Datos!L9/Datos!K9,(Datos!L9+Datos!AB9)/(Datos!K9+Datos!AA9)))*11)/factor_trimestre),((IF(J_V="SI",Datos!L9/Datos!K9,(Datos!L9+Datos!AB9)/(Datos!K9+Datos!AA9)))*11)/factor_trimestre," - ")</f>
        <v>14.505938242280285</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1.6467179995425782E-2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1750.170154465633</v>
      </c>
      <c r="CF9" s="228">
        <f ca="1">AVERAGEIFS($AB:$AB,$BW:$BW,BW9,$BX:$BX,BX9)</f>
        <v>1750.170154465633</v>
      </c>
      <c r="CG9" s="1191">
        <v>0.7</v>
      </c>
      <c r="CH9" s="1191">
        <f ca="1">AVERAGEIF($BW:$BW,$BW9,$AC:$AC)</f>
        <v>204.3</v>
      </c>
      <c r="CI9" s="228">
        <f ca="1">AVERAGEIFS($AC:$AC,$BW:$BW,$BW9,$BX:$BX,$BX9)</f>
        <v>204.3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2044</v>
      </c>
      <c r="CR9" s="228">
        <f ca="1">AVERAGEIFS($AF:$AF,$BW:$BW,BW9,$BX:$BX,BX9)</f>
        <v>2044</v>
      </c>
      <c r="CS9" s="1191">
        <v>1.3</v>
      </c>
      <c r="CT9" s="1191">
        <v>1.5</v>
      </c>
      <c r="CU9" s="1191">
        <f ca="1">AVERAGEIF($BW:$BW,$BW9,$AH:$AH)</f>
        <v>137.14285714285714</v>
      </c>
      <c r="CV9" s="228">
        <f ca="1">AVERAGEIFS($AH:$AH,$BW:$BW,$BW9,$BX:$BX,$BX9)</f>
        <v>137.14285714285714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4088.7</v>
      </c>
      <c r="DH9" s="1218">
        <f ca="1">AVERAGEIFS($AM:$AM,$BW:$BW,$BW9,$BX:$BX,$BX9)</f>
        <v>4088.7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5.6308358042497737</v>
      </c>
      <c r="ER9" s="1218">
        <f ca="1">AVERAGEIFS($BH:$BH,$BW:$BW,$BW9,$BX:$BX,$BX9)</f>
        <v>5.6308358042497737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109</v>
      </c>
      <c r="G10" s="332">
        <f>IF(ISNUMBER(Datos!I10),Datos!I10," - ")</f>
        <v>109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39</v>
      </c>
      <c r="AC10" s="224">
        <f>IF(ISNUMBER(Datos!Q10),Datos!Q10," - ")</f>
        <v>6</v>
      </c>
      <c r="AD10" s="224"/>
      <c r="AE10" s="224"/>
      <c r="AF10" s="224">
        <f>IF(ISNUMBER(Datos!L10),Datos!L10,"-")</f>
        <v>118</v>
      </c>
      <c r="AG10" s="333"/>
      <c r="AH10" s="224"/>
      <c r="AI10" s="224"/>
      <c r="AJ10" s="1214"/>
      <c r="AK10" s="333"/>
      <c r="AL10" s="478"/>
      <c r="AM10" s="1214">
        <f>IF(ISNUMBER(Datos!R10),Datos!R10," - ")</f>
        <v>50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14</v>
      </c>
      <c r="BE10" s="1214" t="str">
        <f>IF(ISNUMBER(Datos!BW10),Datos!BW10," - ")</f>
        <v xml:space="preserve"> - </v>
      </c>
      <c r="BF10" s="1214" t="str">
        <f>IF(ISNUMBER(Datos!BX10),Datos!BX10," - ")</f>
        <v xml:space="preserve"> - </v>
      </c>
      <c r="BG10" s="242">
        <f>IF(ISNUMBER(Datos!K10/Datos!J10),Datos!K10/Datos!J10," - ")</f>
        <v>0.8125</v>
      </c>
      <c r="BH10" s="1214">
        <f>IF(ISNUMBER(((Datos!L10/Datos!K10)*11)/factor_trimestre),((Datos!L10/Datos!K10)*11)/factor_trimestre," - ")</f>
        <v>9.0769230769230784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0.19047619047619047</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1750.170154465633</v>
      </c>
      <c r="CF10" s="228">
        <f ca="1">AVERAGEIFS($AB:$AB,$BW:$BW,BW10,$BX:$BX,BX10)</f>
        <v>1750.170154465633</v>
      </c>
      <c r="CG10" s="1191">
        <v>0.7</v>
      </c>
      <c r="CH10" s="1191">
        <f ca="1">AVERAGEIF($BW:$BW,BW10,$AC:$AC)</f>
        <v>204.3</v>
      </c>
      <c r="CI10" s="228">
        <f ca="1">AVERAGEIFS($AC:$AC,$BW:$BW,BW10,$BX:$BX,BX10)</f>
        <v>204.3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2044</v>
      </c>
      <c r="CR10" s="228">
        <f ca="1">AVERAGEIFS($AF:$AF,$BW:$BW,BW10,$BX:$BX,BX10)</f>
        <v>2044</v>
      </c>
      <c r="CS10" s="1191">
        <v>1.3</v>
      </c>
      <c r="CT10" s="1191">
        <v>1.5</v>
      </c>
      <c r="CU10" s="1191">
        <f ca="1">AVERAGEIF($BW:$BW,$BW10,$AH:$AH)</f>
        <v>137.14285714285714</v>
      </c>
      <c r="CV10" s="228">
        <f ca="1">AVERAGEIFS($AH:$AH,$BW:$BW,$BW10,$BX:$BX,$BX10)</f>
        <v>137.14285714285714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4088.7</v>
      </c>
      <c r="DH10" s="1218">
        <f ca="1">AVERAGEIFS($AM:$AM,$BW:$BW,$BW10,$BX:$BX,$BX10)</f>
        <v>4088.7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5.6308358042497737</v>
      </c>
      <c r="ER10" s="1218">
        <f ca="1">AVERAGEIFS($BH:$BH,$BW:$BW,$BW10,$BX:$BX,$BX10)</f>
        <v>5.6308358042497737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1750.170154465633</v>
      </c>
      <c r="CF11" s="228">
        <f ca="1">AVERAGEIFS($AB:$AB,$BW:$BW,BW11,$BX:$BX,BX11)</f>
        <v>1750.170154465633</v>
      </c>
      <c r="CG11" s="1191">
        <v>0.7</v>
      </c>
      <c r="CH11" s="1191">
        <f ca="1">AVERAGEIF($BW:$BW,BW11,$AC:$AC)</f>
        <v>204.3</v>
      </c>
      <c r="CI11" s="228">
        <f ca="1">AVERAGEIFS($AC:$AC,$BW:$BW,BW11,$BX:$BX,BX11)</f>
        <v>204.3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2044</v>
      </c>
      <c r="CR11" s="228">
        <f ca="1">AVERAGEIFS($AF:$AF,$BW:$BW,BW11,$BX:$BX,BX11)</f>
        <v>2044</v>
      </c>
      <c r="CS11" s="1191">
        <v>1.3</v>
      </c>
      <c r="CT11" s="1191">
        <v>1.5</v>
      </c>
      <c r="CU11" s="1191">
        <f ca="1">AVERAGEIF($BW:$BW,$BW11,$AH:$AH)</f>
        <v>137.14285714285714</v>
      </c>
      <c r="CV11" s="228">
        <f ca="1">AVERAGEIFS($AH:$AH,$BW:$BW,$BW11,$BX:$BX,$BX11)</f>
        <v>137.14285714285714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4088.7</v>
      </c>
      <c r="DH11" s="1218">
        <f ca="1">AVERAGEIFS($AM:$AM,$BW:$BW,$BW11,$BX:$BX,$BX11)</f>
        <v>4088.7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5.6308358042497737</v>
      </c>
      <c r="ER11" s="1218">
        <f ca="1">AVERAGEIFS($BH:$BH,$BW:$BW,$BW11,$BX:$BX,$BX11)</f>
        <v>5.6308358042497737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1750.170154465633</v>
      </c>
      <c r="CF12" s="228">
        <f ca="1">AVERAGEIFS($AB:$AB,$BW:$BW,BW12,$BX:$BX,BX12)</f>
        <v>1750.170154465633</v>
      </c>
      <c r="CG12" s="1191">
        <v>0.7</v>
      </c>
      <c r="CH12" s="1191">
        <f ca="1">AVERAGEIF($BW:$BW,BW12,$AC:$AC)</f>
        <v>204.3</v>
      </c>
      <c r="CI12" s="228">
        <f ca="1">AVERAGEIFS($AC:$AC,$BW:$BW,BW12,$BX:$BX,BX12)</f>
        <v>204.3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2044</v>
      </c>
      <c r="CR12" s="228">
        <f ca="1">AVERAGEIFS($AF:$AF,$BW:$BW,BW12,$BX:$BX,BX12)</f>
        <v>2044</v>
      </c>
      <c r="CS12" s="1191">
        <v>1.3</v>
      </c>
      <c r="CT12" s="1191">
        <v>1.5</v>
      </c>
      <c r="CU12" s="1191">
        <f ca="1">AVERAGEIF($BW:$BW,$BW12,$AH:$AH)</f>
        <v>137.14285714285714</v>
      </c>
      <c r="CV12" s="228">
        <f ca="1">AVERAGEIFS($AH:$AH,$BW:$BW,$BW12,$BX:$BX,$BX12)</f>
        <v>137.14285714285714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4088.7</v>
      </c>
      <c r="DH12" s="1218">
        <f ca="1">AVERAGEIFS($AM:$AM,$BW:$BW,$BW12,$BX:$BX,$BX12)</f>
        <v>4088.7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5.6308358042497737</v>
      </c>
      <c r="ER12" s="1218">
        <f ca="1">AVERAGEIFS($BH:$BH,$BW:$BW,$BW12,$BX:$BX,$BX12)</f>
        <v>5.6308358042497737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109</v>
      </c>
      <c r="G13" s="895">
        <f t="shared" si="1"/>
        <v>109</v>
      </c>
      <c r="H13" s="896">
        <f t="shared" si="1"/>
        <v>0</v>
      </c>
      <c r="I13" s="895">
        <f t="shared" si="1"/>
        <v>0</v>
      </c>
      <c r="J13" s="864">
        <f t="shared" si="1"/>
        <v>0</v>
      </c>
      <c r="K13" s="864">
        <f t="shared" si="1"/>
        <v>0</v>
      </c>
      <c r="L13" s="896">
        <f t="shared" si="1"/>
        <v>0</v>
      </c>
      <c r="M13" s="896">
        <f t="shared" si="1"/>
        <v>0</v>
      </c>
      <c r="N13" s="896">
        <f t="shared" si="1"/>
        <v>199</v>
      </c>
      <c r="O13" s="897">
        <f t="shared" si="1"/>
        <v>0</v>
      </c>
      <c r="P13" s="897">
        <f t="shared" si="1"/>
        <v>0</v>
      </c>
      <c r="Q13" s="896">
        <f t="shared" si="1"/>
        <v>767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39</v>
      </c>
      <c r="AC13" s="896">
        <f t="shared" si="2"/>
        <v>543</v>
      </c>
      <c r="AD13" s="896">
        <f t="shared" si="2"/>
        <v>0</v>
      </c>
      <c r="AE13" s="896">
        <f t="shared" si="2"/>
        <v>0</v>
      </c>
      <c r="AF13" s="896">
        <f t="shared" si="2"/>
        <v>118</v>
      </c>
      <c r="AG13" s="896">
        <f t="shared" si="2"/>
        <v>0</v>
      </c>
      <c r="AH13" s="896">
        <f t="shared" si="2"/>
        <v>320</v>
      </c>
      <c r="AI13" s="896">
        <f t="shared" si="2"/>
        <v>0</v>
      </c>
      <c r="AJ13" s="896">
        <f t="shared" si="2"/>
        <v>0</v>
      </c>
      <c r="AK13" s="896">
        <f t="shared" si="2"/>
        <v>0</v>
      </c>
      <c r="AL13" s="896">
        <f t="shared" si="2"/>
        <v>0</v>
      </c>
      <c r="AM13" s="896">
        <f t="shared" si="2"/>
        <v>13383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678</v>
      </c>
      <c r="BD13" s="896">
        <f t="shared" si="2"/>
        <v>1078</v>
      </c>
      <c r="BE13" s="896">
        <f t="shared" si="2"/>
        <v>0</v>
      </c>
      <c r="BF13" s="896">
        <f t="shared" si="2"/>
        <v>0</v>
      </c>
      <c r="BG13" s="896">
        <f>IF(ISNUMBER(Datos!K13/Datos!J13),Datos!K13/Datos!J13," - ")</f>
        <v>0.93856520015854139</v>
      </c>
      <c r="BH13" s="900">
        <f>IF(ISNUMBER(((Datos!L13/Datos!K13)*11)/factor_trimestre),((Datos!L13/Datos!K13)*11)/factor_trimestre," - ")</f>
        <v>15.217905405405405</v>
      </c>
      <c r="BI13" s="896">
        <f>IF(ISNUMBER('Resol  Asuntos'!D13/NºAsuntos!G13),'Resol  Asuntos'!D13/NºAsuntos!G13," - ")</f>
        <v>0.26432748538011697</v>
      </c>
      <c r="BJ13" s="896" t="str">
        <f>IF(ISNUMBER(Datos!CI13/Datos!CJ13),Datos!CI13/Datos!CJ13," - ")</f>
        <v xml:space="preserve"> - </v>
      </c>
      <c r="BK13" s="896">
        <f>SUBTOTAL(9,BK8:BK12)</f>
        <v>0</v>
      </c>
      <c r="BL13" s="896">
        <f>IF(ISNUMBER((I13-AB13+L13)/(F13)),(I13-AB13+L13)/(F13)," - ")</f>
        <v>-0.3577981651376147</v>
      </c>
      <c r="BM13" s="901">
        <f>SUBTOTAL(9,BM9:BM12)</f>
        <v>0.20694337047161626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5027</v>
      </c>
      <c r="G15" s="596">
        <f>IF(ISNUMBER(IF(D_I="SI",Datos!I15,Datos!I15+Datos!AC15)),IF(D_I="SI",Datos!I15,Datos!I15+Datos!AC15)," - ")</f>
        <v>5011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94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4479</v>
      </c>
      <c r="AC15" s="224">
        <f>IF(ISNUMBER(Datos!Q15),Datos!Q15," - ")</f>
        <v>121</v>
      </c>
      <c r="AD15" s="224"/>
      <c r="AE15" s="224"/>
      <c r="AF15" s="224">
        <f>IF(ISNUMBER(IF(D_I="SI",Datos!L15,Datos!L15+Datos!AF15)),IF(D_I="SI",Datos!L15,Datos!L15+Datos!AF15)," - ")</f>
        <v>5574</v>
      </c>
      <c r="AG15" s="333"/>
      <c r="AH15" s="224"/>
      <c r="AI15" s="224"/>
      <c r="AJ15" s="1214"/>
      <c r="AK15" s="333"/>
      <c r="AL15" s="478"/>
      <c r="AM15" s="1214">
        <f>IF(ISNUMBER(Datos!R15),Datos!R15," - ")</f>
        <v>222</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389</v>
      </c>
      <c r="BD15" s="228">
        <f>IF(ISNUMBER(Datos!N15),Datos!N15," - ")</f>
        <v>2900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0.89116593712693992</v>
      </c>
      <c r="BH15" s="1214">
        <f>IF(ISNUMBER(((IF(D_I="SI",Datos!L15/Datos!K15,(Datos!L15+Datos!AF15)/(Datos!K15+Datos!AE15)))*11)/factor_trimestre),((IF(D_I="SI",Datos!L15/Datos!K15,(Datos!L15+Datos!AF15)/(Datos!K15+Datos!AE15)))*11)/factor_trimestre," - ")</f>
        <v>3.7334226389819158</v>
      </c>
      <c r="BI15" s="242">
        <f>IF(ISNUMBER('Resol  Asuntos'!D15/NºAsuntos!G15),'Resol  Asuntos'!D15/NºAsuntos!G15," - ")</f>
        <v>8.6849743246260325E-2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1750.170154465633</v>
      </c>
      <c r="CF15" s="228">
        <f ca="1">AVERAGEIFS($AB:$AB,$BW:$BW,BW15,$BX:$BX,BX15)</f>
        <v>1750.170154465633</v>
      </c>
      <c r="CG15" s="1191">
        <v>0.7</v>
      </c>
      <c r="CH15" s="1191">
        <f ca="1">AVERAGEIF($BW:$BW,BW15,$AC:$AC)</f>
        <v>204.3</v>
      </c>
      <c r="CI15" s="228">
        <f ca="1">AVERAGEIFS($AC:$AC,$BW:$BW,BW15,$BX:$BX,BX15)</f>
        <v>204.3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2044</v>
      </c>
      <c r="CR15" s="228">
        <f ca="1">AVERAGEIFS($AF:$AF,$BW:$BW,BW15,$BX:$BX,BX15)</f>
        <v>2044</v>
      </c>
      <c r="CS15" s="1191">
        <v>1.3</v>
      </c>
      <c r="CT15" s="1191">
        <v>1.5</v>
      </c>
      <c r="CU15" s="1191">
        <f ca="1">AVERAGEIF($BW:$BW,$BW15,$AH:$AH)</f>
        <v>137.14285714285714</v>
      </c>
      <c r="CV15" s="228">
        <f ca="1">AVERAGEIFS($AH:$AH,$BW:$BW,$BW15,$BX:$BX,$BX15)</f>
        <v>137.14285714285714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4088.7</v>
      </c>
      <c r="DH15" s="1218">
        <f ca="1">AVERAGEIFS($AM:$AM,$BW:$BW,$BW15,$BX:$BX,$BX15)</f>
        <v>4088.7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5.6308358042497737</v>
      </c>
      <c r="ER15" s="1218">
        <f ca="1">AVERAGEIFS($BH:$BH,$BW:$BW,$BW15,$BX:$BX,$BX15)</f>
        <v>5.6308358042497737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1750.170154465633</v>
      </c>
      <c r="CF16" s="1218">
        <f ca="1">AVERAGEIFS($AB:$AB,$BW:$BW,BW16,$BX:$BX,BX16)</f>
        <v>1750.170154465633</v>
      </c>
      <c r="CG16" s="1191">
        <v>0.7</v>
      </c>
      <c r="CH16" s="1191">
        <f ca="1">AVERAGEIF($BW:$BW,BW16,$AC:$AC)</f>
        <v>204.3</v>
      </c>
      <c r="CI16" s="1218">
        <f ca="1">AVERAGEIFS($AC:$AC,$BW:$BW,BW16,$BX:$BX,BX16)</f>
        <v>204.3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2044</v>
      </c>
      <c r="CR16" s="1218">
        <f ca="1">AVERAGEIFS($AF:$AF,$BW:$BW,BW16,$BX:$BX,BX16)</f>
        <v>2044</v>
      </c>
      <c r="CS16" s="1191">
        <v>1.3</v>
      </c>
      <c r="CT16" s="1191">
        <v>1.5</v>
      </c>
      <c r="CU16" s="1191">
        <f ca="1">AVERAGEIF($BW:$BW,$BW16,$AH:$AH)</f>
        <v>137.14285714285714</v>
      </c>
      <c r="CV16" s="1218">
        <f ca="1">AVERAGEIFS($AH:$AH,$BW:$BW,$BW16,$BX:$BX,$BX16)</f>
        <v>137.14285714285714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4088.7</v>
      </c>
      <c r="DH16" s="1218">
        <f ca="1">AVERAGEIFS($AM:$AM,$BW:$BW,$BW16,$BX:$BX,$BX16)</f>
        <v>4088.7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5.6308358042497737</v>
      </c>
      <c r="ER16" s="1218">
        <f ca="1">AVERAGEIFS($BH:$BH,$BW:$BW,$BW16,$BX:$BX,$BX16)</f>
        <v>5.6308358042497737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1750.170154465633</v>
      </c>
      <c r="CF17" s="228">
        <f ca="1">AVERAGEIFS($AB:$AB,$BW:$BW,BW17,$BX:$BX,BX17)</f>
        <v>1750.170154465633</v>
      </c>
      <c r="CG17" s="1191">
        <v>0.7</v>
      </c>
      <c r="CH17" s="1191">
        <f ca="1">AVERAGEIF($BW:$BW,BW17,$AC:$AC)</f>
        <v>204.3</v>
      </c>
      <c r="CI17" s="228">
        <f ca="1">AVERAGEIFS($AC:$AC,$BW:$BW,BW17,$BX:$BX,BX17)</f>
        <v>204.3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2044</v>
      </c>
      <c r="CR17" s="228">
        <f ca="1">AVERAGEIFS($AF:$AF,$BW:$BW,BW17,$BX:$BX,BX17)</f>
        <v>2044</v>
      </c>
      <c r="CS17" s="1191">
        <v>1.3</v>
      </c>
      <c r="CT17" s="1191">
        <v>1.5</v>
      </c>
      <c r="CU17" s="1191">
        <f ca="1">AVERAGEIF($BW:$BW,$BW17,$AH:$AH)</f>
        <v>137.14285714285714</v>
      </c>
      <c r="CV17" s="228">
        <f ca="1">AVERAGEIFS($AH:$AH,$BW:$BW,$BW17,$BX:$BX,$BX17)</f>
        <v>137.14285714285714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4088.7</v>
      </c>
      <c r="DH17" s="1218">
        <f ca="1">AVERAGEIFS($AM:$AM,$BW:$BW,$BW17,$BX:$BX,$BX17)</f>
        <v>4088.7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5.6308358042497737</v>
      </c>
      <c r="ER17" s="1218">
        <f ca="1">AVERAGEIFS($BH:$BH,$BW:$BW,$BW17,$BX:$BX,$BX17)</f>
        <v>5.6308358042497737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503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484</v>
      </c>
      <c r="AC18" s="224">
        <f>IF(ISNUMBER(Datos!Q18),Datos!Q18," - ")</f>
        <v>17</v>
      </c>
      <c r="AD18" s="224"/>
      <c r="AE18" s="224"/>
      <c r="AF18" s="224">
        <f>IF(ISNUMBER(Datos!L18),Datos!L18,"-")</f>
        <v>440</v>
      </c>
      <c r="AG18" s="333"/>
      <c r="AH18" s="224"/>
      <c r="AI18" s="224"/>
      <c r="AJ18" s="1214"/>
      <c r="AK18" s="333"/>
      <c r="AL18" s="478"/>
      <c r="AM18" s="1214">
        <f>IF(ISNUMBER(Datos!R18),Datos!R18," - ")</f>
        <v>24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46</v>
      </c>
      <c r="BD18" s="228">
        <f>IF(ISNUMBER(Datos!N18),Datos!N18," - ")</f>
        <v>313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1.1308411214953271</v>
      </c>
      <c r="BH18" s="1214">
        <f>IF(ISNUMBER(((IF(D_I="SI",Datos!L18/Datos!K18,(Datos!L18+Datos!AF18)/(Datos!K18+Datos!AE18)))*11)/factor_trimestre),((IF(D_I="SI",Datos!L18/Datos!K18,(Datos!L18+Datos!AF18)/(Datos!K18+Datos!AE18)))*11)/factor_trimestre," - ")</f>
        <v>2.7272727272727275</v>
      </c>
      <c r="BI18" s="242">
        <f>IF(ISNUMBER('Resol  Asuntos'!D18/NºAsuntos!G18),'Resol  Asuntos'!D18/NºAsuntos!G18," - ")</f>
        <v>9.5041322314049589E-2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1750.170154465633</v>
      </c>
      <c r="CF18" s="228">
        <f ca="1">AVERAGEIFS($AB:$AB,$BW:$BW,BW18,$BX:$BX,BX18)</f>
        <v>1750.170154465633</v>
      </c>
      <c r="CG18" s="1191">
        <v>0.7</v>
      </c>
      <c r="CH18" s="1191">
        <f ca="1">AVERAGEIF($BW:$BW,BW18,$AC:$AC)</f>
        <v>204.3</v>
      </c>
      <c r="CI18" s="228">
        <f ca="1">AVERAGEIFS($AC:$AC,$BW:$BW,BW18,$BX:$BX,BX18)</f>
        <v>204.3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2044</v>
      </c>
      <c r="CR18" s="228">
        <f ca="1">AVERAGEIFS($AF:$AF,$BW:$BW,BW18,$BX:$BX,BX18)</f>
        <v>2044</v>
      </c>
      <c r="CS18" s="1191">
        <v>1.3</v>
      </c>
      <c r="CT18" s="1191">
        <v>1.5</v>
      </c>
      <c r="CU18" s="1191">
        <f ca="1">AVERAGEIF($BW:$BW,$BW18,$AH:$AH)</f>
        <v>137.14285714285714</v>
      </c>
      <c r="CV18" s="228">
        <f ca="1">AVERAGEIFS($AH:$AH,$BW:$BW,$BW18,$BX:$BX,$BX18)</f>
        <v>137.14285714285714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4088.7</v>
      </c>
      <c r="DH18" s="1218">
        <f ca="1">AVERAGEIFS($AM:$AM,$BW:$BW,$BW18,$BX:$BX,$BX18)</f>
        <v>4088.7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5.6308358042497737</v>
      </c>
      <c r="ER18" s="1218">
        <f ca="1">AVERAGEIFS($BH:$BH,$BW:$BW,$BW18,$BX:$BX,$BX18)</f>
        <v>5.6308358042497737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5027</v>
      </c>
      <c r="G19" s="895">
        <f>SUBTOTAL(9,G15:G18)</f>
        <v>5514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4963</v>
      </c>
      <c r="AC19" s="896">
        <f t="shared" si="5"/>
        <v>138</v>
      </c>
      <c r="AD19" s="896">
        <f t="shared" si="5"/>
        <v>0</v>
      </c>
      <c r="AE19" s="896">
        <f t="shared" si="5"/>
        <v>0</v>
      </c>
      <c r="AF19" s="896">
        <f t="shared" si="5"/>
        <v>6014</v>
      </c>
      <c r="AG19" s="896">
        <f t="shared" si="5"/>
        <v>0</v>
      </c>
      <c r="AH19" s="896">
        <f t="shared" si="5"/>
        <v>0</v>
      </c>
      <c r="AI19" s="896">
        <f t="shared" si="5"/>
        <v>0</v>
      </c>
      <c r="AJ19" s="896">
        <f t="shared" si="5"/>
        <v>0</v>
      </c>
      <c r="AK19" s="896">
        <f t="shared" si="5"/>
        <v>0</v>
      </c>
      <c r="AL19" s="896">
        <f t="shared" si="5"/>
        <v>0</v>
      </c>
      <c r="AM19" s="896">
        <f t="shared" si="5"/>
        <v>246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435</v>
      </c>
      <c r="BD19" s="896">
        <f t="shared" si="5"/>
        <v>3213</v>
      </c>
      <c r="BE19" s="896">
        <f t="shared" si="5"/>
        <v>0</v>
      </c>
      <c r="BF19" s="896">
        <f t="shared" si="5"/>
        <v>0</v>
      </c>
      <c r="BG19" s="896">
        <f>IF(ISNUMBER(Datos!K19/Datos!J19),Datos!K19/Datos!J19," - ")</f>
        <v>0.90997433076640999</v>
      </c>
      <c r="BH19" s="900">
        <f>IF(ISNUMBER(((Datos!L19/Datos!K19)*11)/factor_trimestre),((Datos!L19/Datos!K19)*11)/factor_trimestre," - ")</f>
        <v>3.6353012290953055</v>
      </c>
      <c r="BI19" s="896">
        <f>SUBTOTAL(9,BI15:BI18)</f>
        <v>0.18189106556030993</v>
      </c>
      <c r="BJ19" s="896">
        <f>SUBTOTAL(9,BJ15:BJ18)</f>
        <v>0</v>
      </c>
      <c r="BK19" s="896">
        <f>SUBTOTAL(9,BK15:BK18)</f>
        <v>0</v>
      </c>
      <c r="BL19" s="896">
        <f>IF(ISNUMBER((I19-AB19+L19)/(F19)),(I19-AB19+L19)/(F19)," - ")</f>
        <v>-0.98726874875671378</v>
      </c>
      <c r="BM19" s="902">
        <f>IF(ISNUMBER((Datos!P19-Datos!Q19)/(Datos!R19-Datos!P19+Datos!Q19)),(Datos!P19-Datos!Q19)/(Datos!R19-Datos!P19+Datos!Q19)," - ")</f>
        <v>-0.15172413793103448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17</v>
      </c>
      <c r="F20" s="817">
        <f t="shared" si="7"/>
        <v>5136</v>
      </c>
      <c r="G20" s="817">
        <f t="shared" si="7"/>
        <v>5623</v>
      </c>
      <c r="H20" s="819">
        <f t="shared" si="7"/>
        <v>0</v>
      </c>
      <c r="I20" s="817">
        <f t="shared" si="7"/>
        <v>0</v>
      </c>
      <c r="J20" s="819">
        <f t="shared" si="7"/>
        <v>0</v>
      </c>
      <c r="K20" s="819">
        <f t="shared" si="7"/>
        <v>0</v>
      </c>
      <c r="L20" s="878">
        <f t="shared" si="7"/>
        <v>0</v>
      </c>
      <c r="M20" s="878">
        <f t="shared" si="7"/>
        <v>0</v>
      </c>
      <c r="N20" s="878">
        <f t="shared" si="7"/>
        <v>199</v>
      </c>
      <c r="O20" s="878">
        <f t="shared" si="7"/>
        <v>0</v>
      </c>
      <c r="P20" s="878">
        <f t="shared" si="7"/>
        <v>0</v>
      </c>
      <c r="Q20" s="819">
        <f t="shared" si="7"/>
        <v>861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5002</v>
      </c>
      <c r="AC20" s="818">
        <f t="shared" si="8"/>
        <v>681</v>
      </c>
      <c r="AD20" s="818">
        <f t="shared" si="8"/>
        <v>0</v>
      </c>
      <c r="AE20" s="818">
        <f t="shared" si="8"/>
        <v>0</v>
      </c>
      <c r="AF20" s="825">
        <f t="shared" si="8"/>
        <v>6132</v>
      </c>
      <c r="AG20" s="825">
        <f t="shared" si="8"/>
        <v>0</v>
      </c>
      <c r="AH20" s="825">
        <f t="shared" si="8"/>
        <v>320</v>
      </c>
      <c r="AI20" s="825">
        <f t="shared" si="8"/>
        <v>0</v>
      </c>
      <c r="AJ20" s="818">
        <f t="shared" si="8"/>
        <v>0</v>
      </c>
      <c r="AK20" s="825">
        <f t="shared" si="8"/>
        <v>0</v>
      </c>
      <c r="AL20" s="825">
        <f t="shared" si="8"/>
        <v>0</v>
      </c>
      <c r="AM20" s="825">
        <f t="shared" si="8"/>
        <v>13629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1113</v>
      </c>
      <c r="BD20" s="817">
        <f t="shared" si="8"/>
        <v>4291</v>
      </c>
      <c r="BE20" s="817">
        <f t="shared" si="8"/>
        <v>0</v>
      </c>
      <c r="BF20" s="827">
        <f t="shared" si="8"/>
        <v>0</v>
      </c>
      <c r="BG20" s="912">
        <f>IF(ISNUMBER(Datos!K20/Datos!J20),Datos!K20/Datos!J20," - ")</f>
        <v>0.9190171743763319</v>
      </c>
      <c r="BH20" s="912">
        <f>IF(ISNUMBER(((Datos!L20/Datos!K20)*11)/factor_trimestre),((Datos!L20/Datos!K20)*11)/factor_trimestre," - ")</f>
        <v>7.3766198335834128</v>
      </c>
      <c r="BI20" s="810">
        <f>IF(ISNUMBER(Datos!J20/Datos!I20),Datos!J20/Datos!I20," - ")</f>
        <v>0.46000807335217114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-0.97390965732087231</v>
      </c>
      <c r="BM20" s="886">
        <f>IF(ISNUMBER((Datos!P20-Datos!Q20+R20)/(Datos!R20-Datos!P20+Datos!Q20-R20)),(Datos!P20-Datos!Q20+R20)/(Datos!R20-Datos!P20+Datos!Q20-R20)," - ")</f>
        <v>1.3383894713361589E-2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2249.1999999999998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3.8064273129653858</v>
      </c>
      <c r="F22" s="550">
        <f>IF(ISNUMBER(STDEV(F8:F19)),STDEV(F8:F19),"-")</f>
        <v>2839.4086238745795</v>
      </c>
      <c r="G22" s="551">
        <f>IF(ISNUMBER(STDEV(G8:G19)),STDEV(G8:G19),"-")</f>
        <v>2761.185651128877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2495.7015446563319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288.99550169509558</v>
      </c>
      <c r="BD22" s="550"/>
      <c r="BE22" s="550">
        <f>IF(ISNUMBER(STDEV(BE8:BE19)),STDEV(BE8:BE19),"-")</f>
        <v>0</v>
      </c>
      <c r="BF22" s="555">
        <f>IF(ISNUMBER(STDEV(BF8:BF19)),STDEV(BF8:BF19),"-")</f>
        <v>0</v>
      </c>
      <c r="BG22" s="772">
        <f>IF(ISNUMBER(STDEV(BG8:BG19)),STDEV(BG8:BG19),"-")</f>
        <v>0.10579354602409018</v>
      </c>
      <c r="BH22" s="773">
        <f>IF(ISNUMBER(STDEV(BH8:BH19)),STDEV(BH8:BH19),"-")</f>
        <v>5.6658106932053833</v>
      </c>
      <c r="BI22" s="248">
        <f>IF(ISNUMBER(STDEV(BI8:BI19)),STDEV(BI8:BI19),"-")</f>
        <v>8.3463939363075945E-2</v>
      </c>
      <c r="BJ22" s="1415" t="str">
        <f>IF(ISNUMBER(BL22/BM22),BL22/BM22," - ")</f>
        <v xml:space="preserve"> - </v>
      </c>
      <c r="BK22" s="574"/>
      <c r="BL22" s="558">
        <f>IF(ISNUMBER(STDEV(BL8:BL19)),STDEV(BL8:BL19),"-")</f>
        <v>0.44510291823451864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2c7BltH9FnQeBgT2tc641yJUntEhs3VkwCdgA/SWUNwT+XjKBGs3N4eMLlYbv2KJ/eJeHcsC1AGjee8KplyZ2g==" saltValue="OpYh37mOjPxR8H+M4DLm+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MARBELLA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0.26432748538011697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0.18690775736626872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XItlqkId4Sa23JxLI0s3Yj6J57dSlxp3/EbfiHsB0I/RXPmYHTuCw4JnTg6x5Wwcw8fO91zxqKh+JDMlyckuRg==" saltValue="LakuHJf7tBTXWbv5sV9F+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MARBELLA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ZLo/MGfh0xbglTTOuOlQJ/yzJXvaYLPa4k6alqi/afegwOHRxJK/XbXssUQnHJCYGrx4KGZ1WLb70CVY2PCHw==" saltValue="+U4Ct5M/pDKoLtiP1L+2u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MARBELLA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X8CPSQrOaDxmuHV8Jcfg58orbu2RbNTXFjHxPL2+dGuuQexAka1GjR9PUAaH7K2KCV2WUQ2bIe8VRGjCIVycQ==" saltValue="kfVXC1eXYgpGhokzo/yC1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MARBELLA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8</v>
      </c>
      <c r="C9" s="409">
        <f>Datos!AQ9</f>
        <v>8</v>
      </c>
      <c r="D9" s="402">
        <f>IF(ISNUMBER(Datos!M9),Datos!M9," - ")</f>
        <v>664</v>
      </c>
      <c r="E9" s="403">
        <f t="shared" ref="E9:E13" si="0">IF(ISNUMBER(D9/B9),D9/B9," - ")</f>
        <v>83</v>
      </c>
      <c r="F9" s="402">
        <f>IF(ISNUMBER(Datos!N9),Datos!N9," - ")</f>
        <v>1064</v>
      </c>
      <c r="G9" s="403">
        <f t="shared" ref="G9:G13" si="1">IF(ISNUMBER(F9/B9),F9/B9," - ")</f>
        <v>133</v>
      </c>
      <c r="H9" s="402">
        <f>IF(ISNUMBER(Datos!O9),Datos!O9," - ")</f>
        <v>1254</v>
      </c>
      <c r="I9" s="403">
        <f>IF(ISNUMBER(H9/B9),H9/B9," - ")</f>
        <v>156.75</v>
      </c>
      <c r="BZ9" s="1181">
        <f>Datos!EZ9</f>
        <v>0</v>
      </c>
    </row>
    <row r="10" spans="1:78">
      <c r="A10" s="401" t="str">
        <f>Datos!A10</f>
        <v>Sección De Violencia sobre la Mujer del TI</v>
      </c>
      <c r="B10" s="426">
        <f>Datos!AO10</f>
        <v>2</v>
      </c>
      <c r="C10" s="409">
        <f>Datos!AQ10</f>
        <v>2</v>
      </c>
      <c r="D10" s="402">
        <f>IF(ISNUMBER(Datos!M10),Datos!M10," - ")</f>
        <v>14</v>
      </c>
      <c r="E10" s="403">
        <f>IF(ISNUMBER(D10/B10),D10/B10," - ")</f>
        <v>7</v>
      </c>
      <c r="F10" s="402">
        <f>IF(ISNUMBER(Datos!N10),Datos!N10," - ")</f>
        <v>14</v>
      </c>
      <c r="G10" s="403">
        <f>IF(ISNUMBER(F10/B10),F10/B10," - ")</f>
        <v>7</v>
      </c>
      <c r="H10" s="402">
        <f>IF(ISNUMBER(Datos!O10),Datos!O10," - ")</f>
        <v>13</v>
      </c>
      <c r="I10" s="403">
        <f t="shared" ref="I10:I12" si="2">IF(ISNUMBER(H10/B10),H10/B10," - ")</f>
        <v>6.5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10</v>
      </c>
      <c r="C13" s="848">
        <f>Datos!AR13</f>
        <v>10</v>
      </c>
      <c r="D13" s="846">
        <f>SUBTOTAL(9,D9:D12)</f>
        <v>678</v>
      </c>
      <c r="E13" s="847">
        <f t="shared" si="0"/>
        <v>67.8</v>
      </c>
      <c r="F13" s="846">
        <f>SUBTOTAL(9,F9:F12)</f>
        <v>1078</v>
      </c>
      <c r="G13" s="847">
        <f t="shared" si="1"/>
        <v>107.8</v>
      </c>
      <c r="H13" s="846">
        <f>SUBTOTAL(9,H9:H12)</f>
        <v>1267</v>
      </c>
      <c r="I13" s="847">
        <f>IF(ISNUMBER(H13/B13),H13/B13," - ")</f>
        <v>126.7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389</v>
      </c>
      <c r="E15" s="403">
        <f t="shared" ref="E15:E19" si="3">IF(ISNUMBER(D15/B15),D15/B15," - ")</f>
        <v>77.8</v>
      </c>
      <c r="F15" s="402">
        <f>IF(ISNUMBER(Datos!N15),Datos!N15," - ")</f>
        <v>2900</v>
      </c>
      <c r="G15" s="403">
        <f t="shared" ref="G15:G19" si="4">IF(ISNUMBER(F15/B15),F15/B15," - ")</f>
        <v>580</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46</v>
      </c>
      <c r="E18" s="403">
        <f>IF(ISNUMBER(D18/B18),D18/B18," - ")</f>
        <v>23</v>
      </c>
      <c r="F18" s="402">
        <f>IF(ISNUMBER(Datos!N18),Datos!N18," - ")</f>
        <v>313</v>
      </c>
      <c r="G18" s="403">
        <f>IF(ISNUMBER(F18/B18),F18/B18," - ")</f>
        <v>156.5</v>
      </c>
      <c r="H18" s="402">
        <f>IF(ISNUMBER(Datos!O18),Datos!O18," - ")</f>
        <v>5</v>
      </c>
      <c r="I18" s="403">
        <f t="shared" si="5"/>
        <v>2.5</v>
      </c>
      <c r="BZ18" s="1181">
        <f>Datos!EZ18</f>
        <v>0</v>
      </c>
    </row>
    <row r="19" spans="1:78" ht="14.25" thickTop="1" thickBot="1">
      <c r="A19" s="845" t="str">
        <f>Datos!A19</f>
        <v>TOTAL</v>
      </c>
      <c r="B19" s="846">
        <f>Datos!AP19</f>
        <v>7</v>
      </c>
      <c r="C19" s="848">
        <f>Datos!AR19</f>
        <v>7</v>
      </c>
      <c r="D19" s="846">
        <f>SUBTOTAL(9,D15:D18)</f>
        <v>435</v>
      </c>
      <c r="E19" s="847">
        <f t="shared" si="3"/>
        <v>62.142857142857146</v>
      </c>
      <c r="F19" s="846">
        <f>SUBTOTAL(9,F15:F18)</f>
        <v>3213</v>
      </c>
      <c r="G19" s="847">
        <f t="shared" si="4"/>
        <v>459</v>
      </c>
      <c r="H19" s="846">
        <f>SUBTOTAL(9,H15:H18)</f>
        <v>5</v>
      </c>
      <c r="I19" s="847">
        <f>IF(ISNUMBER(H19/B19),H19/B19," - ")</f>
        <v>0.7142857142857143</v>
      </c>
      <c r="BZ19" s="1181"/>
    </row>
    <row r="20" spans="1:78" ht="14.25" thickTop="1" thickBot="1">
      <c r="A20" s="790" t="str">
        <f>Datos!A20</f>
        <v>TOTAL JURISDICCIONES</v>
      </c>
      <c r="B20" s="791">
        <f>Datos!AP20</f>
        <v>15</v>
      </c>
      <c r="C20" s="791">
        <f>Datos!AR20</f>
        <v>15</v>
      </c>
      <c r="D20" s="791">
        <f>SUBTOTAL(9,D8:D19)</f>
        <v>1113</v>
      </c>
      <c r="E20" s="792">
        <f>IF(ISNUMBER(D20/B20),D20/B20," - ")</f>
        <v>74.2</v>
      </c>
      <c r="F20" s="791">
        <f>SUBTOTAL(9,F8:F19)</f>
        <v>4291</v>
      </c>
      <c r="G20" s="792">
        <f>IF(ISNUMBER(F20/B20),F20/B20," - ")</f>
        <v>286.06666666666666</v>
      </c>
      <c r="H20" s="791">
        <f>SUBTOTAL(9,H8:H19)</f>
        <v>1272</v>
      </c>
      <c r="I20" s="792">
        <f>IF(ISNUMBER(H20/B20),H20/B20," - ")</f>
        <v>84.8</v>
      </c>
    </row>
    <row r="23" spans="1:78">
      <c r="A23" s="390" t="str">
        <f>Criterios!A4</f>
        <v>Fecha Informe: 18 jun. 2026</v>
      </c>
    </row>
    <row r="28" spans="1:78">
      <c r="A28" s="413"/>
    </row>
  </sheetData>
  <sheetProtection algorithmName="SHA-512" hashValue="EUUJb1PFSBJZ1rSfDwcsOCzQMedDwg/FHlR80xpuX1bwDtgC6N1zntTsmFmh7J9RcxPEVAozgI/WjyGHHD+Ydg==" saltValue="FAYT5UV6pIAWUArMXLc2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MARBELLA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753</v>
      </c>
      <c r="C9" s="433">
        <f>IF(ISNUMBER(Datos!Q9),Datos!Q9," - ")</f>
        <v>537</v>
      </c>
      <c r="D9" s="407">
        <f>IF(ISNUMBER(Datos!R9),Datos!R9," - ")</f>
        <v>13333</v>
      </c>
    </row>
    <row r="10" spans="1:4">
      <c r="A10" s="401" t="str">
        <f>Datos!A10</f>
        <v>Sección De Violencia sobre la Mujer del TI</v>
      </c>
      <c r="B10" s="432">
        <f>IF(ISNUMBER(Datos!P10),Datos!P10," - ")</f>
        <v>14</v>
      </c>
      <c r="C10" s="433">
        <f>IF(ISNUMBER(Datos!Q10),Datos!Q10," - ")</f>
        <v>6</v>
      </c>
      <c r="D10" s="407">
        <f>IF(ISNUMBER(Datos!R10),Datos!R10," - ")</f>
        <v>50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767</v>
      </c>
      <c r="C13" s="850">
        <f>SUBTOTAL(9,C9:C12)</f>
        <v>543</v>
      </c>
      <c r="D13" s="848">
        <f>SUBTOTAL(9,D9:D12)</f>
        <v>13383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94</v>
      </c>
      <c r="C15" s="433">
        <f>IF(ISNUMBER(Datos!Q15),Datos!Q15," - ")</f>
        <v>121</v>
      </c>
      <c r="D15" s="407">
        <f>IF(ISNUMBER(Datos!R15),Datos!R15," - ")</f>
        <v>222</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17</v>
      </c>
      <c r="D18" s="407">
        <f>IF(ISNUMBER(Datos!R18),Datos!R18," - ")</f>
        <v>24</v>
      </c>
    </row>
    <row r="19" spans="1:4" ht="14.25" thickTop="1" thickBot="1">
      <c r="A19" s="845" t="str">
        <f>Datos!A19</f>
        <v>TOTAL</v>
      </c>
      <c r="B19" s="846">
        <f>SUBTOTAL(9,B15:B18)</f>
        <v>94</v>
      </c>
      <c r="C19" s="850">
        <f>SUBTOTAL(9,C15:C18)</f>
        <v>138</v>
      </c>
      <c r="D19" s="848">
        <f>SUBTOTAL(9,D15:D18)</f>
        <v>246</v>
      </c>
    </row>
    <row r="20" spans="1:4" ht="16.5" customHeight="1" thickTop="1" thickBot="1">
      <c r="A20" s="790" t="str">
        <f>Datos!A20</f>
        <v>TOTAL JURISDICCIONES</v>
      </c>
      <c r="B20" s="795">
        <f>SUBTOTAL(9,B8:B19)</f>
        <v>861</v>
      </c>
      <c r="C20" s="796">
        <f>SUBTOTAL(9,C8:C19)</f>
        <v>681</v>
      </c>
      <c r="D20" s="797">
        <f>SUBTOTAL(9,D8:D19)</f>
        <v>13629</v>
      </c>
    </row>
    <row r="21" spans="1:4" ht="7.5" customHeight="1"/>
    <row r="22" spans="1:4" ht="6" customHeight="1"/>
    <row r="23" spans="1:4">
      <c r="A23" s="390" t="str">
        <f>Criterios!A4</f>
        <v>Fecha Informe: 18 jun. 2026</v>
      </c>
    </row>
    <row r="28" spans="1:4">
      <c r="A28" s="413"/>
    </row>
  </sheetData>
  <sheetProtection algorithmName="SHA-512" hashValue="XVaIsRSvNC83uoOQZv9e3HwD/ZxnhnBUf7jmZB2D6WrwP7CUIvvMQJ19tDxREqJi43bXFbodauWGMOETjy6HzA==" saltValue="y2C3T5shT4PRB3Vy+yrJ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MARBELLA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-4.2253521126760563E-2</v>
      </c>
      <c r="C9" s="455">
        <f>IF(ISNUMBER(
   IF(J_V="SI",(Datos!J9-Datos!T9)/Datos!T9,(Datos!J9+Datos!Z9-(Datos!T9+Datos!AH9))/(Datos!T9+Datos!AH9))
     ),IF(J_V="SI",(Datos!J9-Datos!T9)/Datos!T9,(Datos!J9+Datos!Z9-(Datos!T9+Datos!AH9))/(Datos!T9+Datos!AH9))," - ")</f>
        <v>-0.51275510204081631</v>
      </c>
      <c r="D9" s="455">
        <f>IF(ISNUMBER(
   IF(J_V="SI",(Datos!K9-Datos!U9)/Datos!U9,(Datos!K9+Datos!AA9-(Datos!U9+Datos!AI9))/(Datos!U9+Datos!AI9))
     ),IF(J_V="SI",(Datos!K9-Datos!U9)/Datos!U9,(Datos!K9+Datos!AA9-(Datos!U9+Datos!AI9))/(Datos!U9+Datos!AI9))," - ")</f>
        <v>-0.38224504768892148</v>
      </c>
      <c r="E9" s="455">
        <f>IF(ISNUMBER(
   IF(J_V="SI",(Datos!L9-Datos!V9)/Datos!V9,(Datos!L9+Datos!AB9-(Datos!V9+Datos!AJ9))/(Datos!V9+Datos!AJ9))
     ),IF(J_V="SI",(Datos!L9-Datos!V9)/Datos!V9,(Datos!L9+Datos!AB9-(Datos!V9+Datos!AJ9))/(Datos!V9+Datos!AJ9))," - ")</f>
        <v>-0.12563533538549645</v>
      </c>
      <c r="F9" s="455">
        <f>IF(ISNUMBER((Datos!M9-Datos!W9)/Datos!W9),(Datos!M9-Datos!W9)/Datos!W9," - ")</f>
        <v>-0.20952380952380953</v>
      </c>
      <c r="G9" s="456">
        <f>IF(ISNUMBER((Datos!N9-Datos!X9)/Datos!X9),(Datos!N9-Datos!X9)/Datos!X9," - ")</f>
        <v>-0.47534516765285995</v>
      </c>
      <c r="H9" s="454">
        <f>IF(ISNUMBER(((NºAsuntos!G9/NºAsuntos!E9)-Datos!BD9)/Datos!BD9),((NºAsuntos!G9/NºAsuntos!E9)-Datos!BD9)/Datos!BD9," - ")</f>
        <v>0.26785309584263245</v>
      </c>
      <c r="I9" s="455">
        <f>IF(ISNUMBER(((NºAsuntos!I9/NºAsuntos!G9)-Datos!BE9)/Datos!BE9),((NºAsuntos!I9/NºAsuntos!G9)-Datos!BE9)/Datos!BE9," - ")</f>
        <v>0.41539078131777707</v>
      </c>
      <c r="J9" s="460">
        <f>IF(ISNUMBER((('Resol  Asuntos'!D9/NºAsuntos!G9)-Datos!BF9)/Datos!BF9),(('Resol  Asuntos'!D9/NºAsuntos!G9)-Datos!BF9)/Datos!BF9," - ")</f>
        <v>-0.46999020834211769</v>
      </c>
      <c r="K9" s="461">
        <f>IF(ISNUMBER((((NºAsuntos!C9+NºAsuntos!E9)/NºAsuntos!G9)-Datos!BG9)/Datos!BG9),(((NºAsuntos!C9+NºAsuntos!E9)/NºAsuntos!G9)-Datos!BG9)/Datos!BG9," - ")</f>
        <v>0.31886075208307152</v>
      </c>
    </row>
    <row r="10" spans="1:11" ht="21">
      <c r="A10" s="401" t="str">
        <f>Datos!A10</f>
        <v>Sección De Violencia sobre la Mujer del TI</v>
      </c>
      <c r="B10" s="454">
        <f>IF(ISNUMBER((Datos!I10-Datos!S10)/Datos!S10),(Datos!I10-Datos!S10)/Datos!S10," - ")</f>
        <v>0.11224489795918367</v>
      </c>
      <c r="C10" s="455">
        <f>IF(ISNUMBER((Datos!J10-Datos!T10)/Datos!T10),(Datos!J10-Datos!T10)/Datos!T10," - ")</f>
        <v>2.1276595744680851E-2</v>
      </c>
      <c r="D10" s="455">
        <f>IF(ISNUMBER((Datos!K10-Datos!U10)/Datos!U10),(Datos!K10-Datos!U10)/Datos!U10," - ")</f>
        <v>8.3333333333333329E-2</v>
      </c>
      <c r="E10" s="455">
        <f>IF(ISNUMBER((Datos!L10-Datos!V10)/Datos!V10),(Datos!L10-Datos!V10)/Datos!V10," - ")</f>
        <v>8.2568807339449546E-2</v>
      </c>
      <c r="F10" s="455">
        <f>IF(ISNUMBER((Datos!M10-Datos!W10)/Datos!W10),(Datos!M10-Datos!W10)/Datos!W10," - ")</f>
        <v>-0.22222222222222221</v>
      </c>
      <c r="G10" s="456">
        <f>IF(ISNUMBER((Datos!N10-Datos!X10)/Datos!X10),(Datos!N10-Datos!X10)/Datos!X10," - ")</f>
        <v>-0.39130434782608697</v>
      </c>
      <c r="H10" s="454">
        <f>IF(ISNUMBER(((NºAsuntos!G10/NºAsuntos!E10)-Datos!BD10)/Datos!BD10),((NºAsuntos!G10/NºAsuntos!E10)-Datos!BD10)/Datos!BD10," - ")</f>
        <v>6.0763888888888895E-2</v>
      </c>
      <c r="I10" s="455">
        <f>IF(ISNUMBER(((NºAsuntos!I10/NºAsuntos!G10)-Datos!BE10)/Datos!BE10),((NºAsuntos!I10/NºAsuntos!G10)-Datos!BE10)/Datos!BE10," - ")</f>
        <v>-7.0571630204657482E-4</v>
      </c>
      <c r="J10" s="460">
        <f>IF(ISNUMBER((('Resol  Asuntos'!D10/NºAsuntos!G10)-Datos!BF10)/Datos!BF10),(('Resol  Asuntos'!D10/NºAsuntos!G10)-Datos!BF10)/Datos!BF10," - ")</f>
        <v>-0.28205128205128205</v>
      </c>
      <c r="K10" s="461">
        <f>IF(ISNUMBER((((NºAsuntos!C10+NºAsuntos!E10)/NºAsuntos!G10)-Datos!BG10)/Datos!BG10),(((NºAsuntos!C10+NºAsuntos!E10)/NºAsuntos!G10)-Datos!BG10)/Datos!BG10," - ")</f>
        <v>-5.3050397877983896E-4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-4.1058033951835771E-2</v>
      </c>
      <c r="C13" s="852">
        <f>IF(ISNUMBER(
   IF(J_V="SI",(Datos!J13-Datos!T13)/Datos!T13,(Datos!J13+Datos!Z13-(Datos!T13+Datos!AH13))/(Datos!T13+Datos!AH13))
     ),IF(J_V="SI",(Datos!J13-Datos!T13)/Datos!T13,(Datos!J13+Datos!Z13-(Datos!T13+Datos!AH13))/(Datos!T13+Datos!AH13))," - ")</f>
        <v>-0.50822041553748876</v>
      </c>
      <c r="D13" s="852">
        <f>IF(ISNUMBER(
   IF(J_V="SI",(Datos!K13-Datos!U13)/Datos!U13,(Datos!K13+Datos!AA13-(Datos!U13+Datos!AI13))/(Datos!U13+Datos!AI13))
     ),IF(J_V="SI",(Datos!K13-Datos!U13)/Datos!U13,(Datos!K13+Datos!AA13-(Datos!U13+Datos!AI13))/(Datos!U13+Datos!AI13))," - ")</f>
        <v>-0.37818181818181817</v>
      </c>
      <c r="E13" s="852">
        <f>IF(ISNUMBER(
   IF(J_V="SI",(Datos!L13-Datos!V13)/Datos!V13,(Datos!L13+Datos!AB13-(Datos!V13+Datos!AJ13))/(Datos!V13+Datos!AJ13))
     ),IF(J_V="SI",(Datos!L13-Datos!V13)/Datos!V13,(Datos!L13+Datos!AB13-(Datos!V13+Datos!AJ13))/(Datos!V13+Datos!AJ13))," - ")</f>
        <v>-0.12402329876402898</v>
      </c>
      <c r="F13" s="853">
        <f>IF(ISNUMBER((Datos!M13-Datos!W13)/Datos!W13),(Datos!M13-Datos!W13)/Datos!W13," - ")</f>
        <v>-0.20979020979020979</v>
      </c>
      <c r="G13" s="854">
        <f>IF(ISNUMBER((Datos!N13-Datos!X13)/Datos!X13),(Datos!N13-Datos!X13)/Datos!X13," - ")</f>
        <v>-0.47440273037542663</v>
      </c>
      <c r="H13" s="854">
        <f>IF(ISNUMBER(((NºAsuntos!G13/NºAsuntos!E13)-Datos!BD13)/Datos!BD13),((NºAsuntos!G13/NºAsuntos!E13)-Datos!BD13)/Datos!BD13," - ")</f>
        <v>0.26442455413800026</v>
      </c>
      <c r="I13" s="854">
        <f>IF(ISNUMBER(((NºAsuntos!I13/NºAsuntos!G13)-Datos!BE13)/Datos!BE13),((NºAsuntos!I13/NºAsuntos!G13)-Datos!BE13)/Datos!BE13," - ")</f>
        <v>0.40873446105200023</v>
      </c>
      <c r="J13" s="854">
        <f>IF(ISNUMBER((('Resol  Asuntos'!D13/NºAsuntos!G13)-Datos!BF13)/Datos!BF13),(('Resol  Asuntos'!D13/NºAsuntos!G13)-Datos!BF13)/Datos!BF13," - ")</f>
        <v>-0.46708168270137707</v>
      </c>
      <c r="K13" s="854">
        <f>IF(ISNUMBER((((NºAsuntos!C13+NºAsuntos!E13)/NºAsuntos!G13)-Datos!BG13)/Datos!BG13),(((NºAsuntos!C13+NºAsuntos!E13)/NºAsuntos!G13)-Datos!BG13)/Datos!BG13," - ")</f>
        <v>0.31367682025576754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0.24219137332672286</v>
      </c>
      <c r="C15" s="455">
        <f>IF(ISNUMBER(
   IF(D_I="SI",(Datos!J15-Datos!T15)/Datos!T15,(Datos!J15+Datos!AD15-(Datos!T15+Datos!AL15))/(Datos!T15+Datos!AL15))
     ),IF(D_I="SI",(Datos!J15-Datos!T15)/Datos!T15,(Datos!J15+Datos!AD15-(Datos!T15+Datos!AL15))/(Datos!T15+Datos!AL15))," - ")</f>
        <v>-5.736894164193867E-3</v>
      </c>
      <c r="D15" s="455">
        <f>IF(ISNUMBER(
   IF(D_I="SI",(Datos!K15-Datos!U15)/Datos!U15,(Datos!K15+Datos!AE15-(Datos!U15+Datos!AM15))/(Datos!U15+Datos!AM15))
     ),IF(D_I="SI",(Datos!K15-Datos!U15)/Datos!U15,(Datos!K15+Datos!AE15-(Datos!U15+Datos!AM15))/(Datos!U15+Datos!AM15))," - ")</f>
        <v>-6.8427620632279529E-2</v>
      </c>
      <c r="E15" s="455">
        <f>IF(ISNUMBER(
   IF(D_I="SI",(Datos!L15-Datos!V15)/Datos!V15,(Datos!L15+Datos!AF15-(Datos!V15+Datos!AN15))/(Datos!V15+Datos!AN15))
     ),IF(D_I="SI",(Datos!L15-Datos!V15)/Datos!V15,(Datos!L15+Datos!AF15-(Datos!V15+Datos!AN15))/(Datos!V15+Datos!AN15))," - ")</f>
        <v>0.27814721394175645</v>
      </c>
      <c r="F15" s="455">
        <f>IF(ISNUMBER((Datos!M15-Datos!W15)/Datos!W15),(Datos!M15-Datos!W15)/Datos!W15," - ")</f>
        <v>-0.16523605150214593</v>
      </c>
      <c r="G15" s="456">
        <f>IF(ISNUMBER((Datos!N15-Datos!X15)/Datos!X15),(Datos!N15-Datos!X15)/Datos!X15," - ")</f>
        <v>-0.16714531878230901</v>
      </c>
      <c r="H15" s="454">
        <f>IF(ISNUMBER(((NºAsuntos!G15/NºAsuntos!E15)-Datos!BD15)/Datos!BD15),((NºAsuntos!G15/NºAsuntos!E15)-Datos!BD15)/Datos!BD15," - ")</f>
        <v>-6.3052451710340796E-2</v>
      </c>
      <c r="I15" s="455">
        <f>IF(ISNUMBER(((NºAsuntos!I15/NºAsuntos!G15)-Datos!BE15)/Datos!BE15),((NºAsuntos!I15/NºAsuntos!G15)-Datos!BE15)/Datos!BE15," - ")</f>
        <v>0.37203210641481699</v>
      </c>
      <c r="J15" s="460">
        <f>IF(ISNUMBER((('Resol  Asuntos'!D15/NºAsuntos!G15)-Datos!BF15)/Datos!BF15),(('Resol  Asuntos'!D15/NºAsuntos!G15)-Datos!BF15)/Datos!BF15," - ")</f>
        <v>-0.10391938727892779</v>
      </c>
      <c r="K15" s="461">
        <f>IF(ISNUMBER((((NºAsuntos!C15+NºAsuntos!E15)/NºAsuntos!G15)-Datos!BG15)/Datos!BG15),(((NºAsuntos!C15+NºAsuntos!E15)/NºAsuntos!G15)-Datos!BG15)/Datos!BG15," - ")</f>
        <v>0.18541718051927311</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-0.13126079447322972</v>
      </c>
      <c r="C18" s="455">
        <f>IF(ISNUMBER(
   IF(D_I="SI",(Datos!J18-Datos!T18)/Datos!T18,(Datos!J18+Datos!AD18-(Datos!T18+Datos!AL18))/(Datos!T18+Datos!AL18))
     ),IF(D_I="SI",(Datos!J18-Datos!T18)/Datos!T18,(Datos!J18+Datos!AD18-(Datos!T18+Datos!AL18))/(Datos!T18+Datos!AL18))," - ")</f>
        <v>-0.20887245841035121</v>
      </c>
      <c r="D18" s="455">
        <f>IF(ISNUMBER(
   IF(D_I="SI",(Datos!K18-Datos!U18)/Datos!U18,(Datos!K18+Datos!AE18-(Datos!U18+Datos!AM18))/(Datos!U18+Datos!AM18))
     ),IF(D_I="SI",(Datos!K18-Datos!U18)/Datos!U18,(Datos!K18+Datos!AE18-(Datos!U18+Datos!AM18))/(Datos!U18+Datos!AM18))," - ")</f>
        <v>-8.851224105461393E-2</v>
      </c>
      <c r="E18" s="455">
        <f>IF(ISNUMBER(
   IF(D_I="SI",(Datos!L18-Datos!V18)/Datos!V18,(Datos!L18+Datos!AF18-(Datos!V18+Datos!AN18))/(Datos!V18+Datos!AN18))
     ),IF(D_I="SI",(Datos!L18-Datos!V18)/Datos!V18,(Datos!L18+Datos!AF18-(Datos!V18+Datos!AN18))/(Datos!V18+Datos!AN18))," - ")</f>
        <v>-0.25297113752122241</v>
      </c>
      <c r="F18" s="455">
        <f>IF(ISNUMBER((Datos!M18-Datos!W18)/Datos!W18),(Datos!M18-Datos!W18)/Datos!W18," - ")</f>
        <v>-0.22033898305084745</v>
      </c>
      <c r="G18" s="456">
        <f>IF(ISNUMBER((Datos!N18-Datos!X18)/Datos!X18),(Datos!N18-Datos!X18)/Datos!X18," - ")</f>
        <v>0.26209677419354838</v>
      </c>
      <c r="H18" s="454">
        <f>IF(ISNUMBER(((NºAsuntos!G18/NºAsuntos!E18)-Datos!BD18)/Datos!BD18),((NºAsuntos!G18/NºAsuntos!E18)-Datos!BD18)/Datos!BD18," - ")</f>
        <v>0.15213756446134083</v>
      </c>
      <c r="I18" s="455">
        <f>IF(ISNUMBER(((NºAsuntos!I18/NºAsuntos!G18)-Datos!BE18)/Datos!BE18),((NºAsuntos!I18/NºAsuntos!G18)-Datos!BE18)/Datos!BE18," - ")</f>
        <v>-0.18042907856150645</v>
      </c>
      <c r="J18" s="460">
        <f>IF(ISNUMBER((('Resol  Asuntos'!D18/NºAsuntos!G18)-Datos!BF18)/Datos!BF18),(('Resol  Asuntos'!D18/NºAsuntos!G18)-Datos!BF18)/Datos!BF18," - ")</f>
        <v>-0.14462809917355365</v>
      </c>
      <c r="K18" s="461">
        <f>IF(ISNUMBER((((NºAsuntos!C18+NºAsuntos!E18)/NºAsuntos!G18)-Datos!BG18)/Datos!BG18),(((NºAsuntos!C18+NºAsuntos!E18)/NºAsuntos!G18)-Datos!BG18)/Datos!BG18," - ")</f>
        <v>-8.8029442148760212E-2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0.1953175807500542</v>
      </c>
      <c r="C19" s="852">
        <f>IF(ISNUMBER(
   IF(Criterios!B14="SI",(Datos!J19-Datos!T19)/Datos!T19,(Datos!J19+Datos!AD19-(Datos!T19+Datos!AL19))/(Datos!T19+Datos!AL19))
     ),IF(Criterios!B14="SI",(Datos!J19-Datos!T19)/Datos!T19,(Datos!J19+Datos!AD19-(Datos!T19+Datos!AL19))/(Datos!T19+Datos!AL19))," - ")</f>
        <v>-2.5375268048606146E-2</v>
      </c>
      <c r="D19" s="852">
        <f>IF(ISNUMBER(
   IF(Criterios!B14="SI",(Datos!K19-Datos!U19)/Datos!U19,(Datos!K19+Datos!AE19-(Datos!U19+Datos!AM19))/(Datos!U19+Datos!AM19))
     ),IF(Criterios!B14="SI",(Datos!K19-Datos!U19)/Datos!U19,(Datos!K19+Datos!AE19-(Datos!U19+Datos!AM19))/(Datos!U19+Datos!AM19))," - ")</f>
        <v>-7.0425173253418238E-2</v>
      </c>
      <c r="E19" s="852">
        <f>IF(ISNUMBER(
   IF(Criterios!B14="SI",(Datos!L19-Datos!V19)/Datos!V19,(Datos!L19+Datos!AF19-(Datos!V19+Datos!AN19))/(Datos!V19+Datos!AN19))
     ),IF(Criterios!B14="SI",(Datos!L19-Datos!V19)/Datos!V19,(Datos!L19+Datos!AF19-(Datos!V19+Datos!AN19))/(Datos!V19+Datos!AN19))," - ")</f>
        <v>0.21494949494949495</v>
      </c>
      <c r="F19" s="853">
        <f>IF(ISNUMBER((Datos!M19-Datos!W19)/Datos!W19),(Datos!M19-Datos!W19)/Datos!W19," - ")</f>
        <v>-0.17142857142857143</v>
      </c>
      <c r="G19" s="854">
        <f>IF(ISNUMBER((Datos!N19-Datos!X19)/Datos!X19),(Datos!N19-Datos!X19)/Datos!X19," - ")</f>
        <v>-0.13860589812332438</v>
      </c>
      <c r="H19" s="854">
        <f>IF(ISNUMBER(((NºAsuntos!G19/NºAsuntos!E19)-Datos!BD19)/Datos!BD19),((NºAsuntos!G19/NºAsuntos!E19)-Datos!BD19)/Datos!BD19," - ")</f>
        <v>-4.622282169529307E-2</v>
      </c>
      <c r="I19" s="854">
        <f>IF(ISNUMBER(((NºAsuntos!I19/NºAsuntos!G19)-Datos!BE19)/Datos!BE19),((NºAsuntos!I19/NºAsuntos!G19)-Datos!BE19)/Datos!BE19," - ")</f>
        <v>0.306994832467329</v>
      </c>
      <c r="J19" s="854">
        <f>IF(ISNUMBER((('Resol  Asuntos'!D19/NºAsuntos!G19)-Datos!BF19)/Datos!BF19),(('Resol  Asuntos'!D19/NºAsuntos!G19)-Datos!BF19)/Datos!BF19," - ")</f>
        <v>-0.10865547911689362</v>
      </c>
      <c r="K19" s="854">
        <f>IF(ISNUMBER((((NºAsuntos!C19+NºAsuntos!E19)/NºAsuntos!G19)-Datos!BG19)/Datos!BG19),(((NºAsuntos!C19+NºAsuntos!E19)/NºAsuntos!G19)-Datos!BG19)/Datos!BG19," - ")</f>
        <v>0.15573930600993338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2.2051163329089015E-2</v>
      </c>
      <c r="C20" s="799">
        <f>IF(ISNUMBER(
   IF(J_V="SI",(Datos!J20-Datos!T20)/Datos!T20,(Datos!J20+Datos!Z20-(Datos!T20+Datos!AH20))/(Datos!T20+Datos!AH20))
     ),IF(J_V="SI",(Datos!J20-Datos!T20)/Datos!T20,(Datos!J20+Datos!Z20-(Datos!T20+Datos!AH20))/(Datos!T20+Datos!AH20))," - ")</f>
        <v>-0.26547480010780705</v>
      </c>
      <c r="D20" s="799">
        <f>IF(ISNUMBER(
   IF(J_V="SI",(Datos!K20-Datos!U20)/Datos!U20,(Datos!K20+Datos!AA20-(Datos!U20+Datos!AI20))/(Datos!U20+Datos!AI20))
     ),IF(J_V="SI",(Datos!K20-Datos!U20)/Datos!U20,(Datos!K20+Datos!AA20-(Datos!U20+Datos!AI20))/(Datos!U20+Datos!AI20))," - ")</f>
        <v>-0.20456466610312765</v>
      </c>
      <c r="E20" s="799">
        <f>IF(ISNUMBER(
   IF(J_V="SI",(Datos!L20-Datos!V20)/Datos!V20,(Datos!L20+Datos!AB20-(Datos!V20+Datos!AJ20))/(Datos!V20+Datos!AJ20))
     ),IF(J_V="SI",(Datos!L20-Datos!V20)/Datos!V20,(Datos!L20+Datos!AB20-(Datos!V20+Datos!AJ20))/(Datos!V20+Datos!AJ20))," - ")</f>
        <v>-3.584191717468993E-2</v>
      </c>
      <c r="F20" s="800">
        <f>IF(ISNUMBER((Datos!M20-Datos!W20)/Datos!W20),(Datos!M20-Datos!W20)/Datos!W20," - ")</f>
        <v>-0.19522776572668113</v>
      </c>
      <c r="G20" s="801">
        <f>IF(ISNUMBER((Datos!N20-Datos!X20)/Datos!X20),(Datos!N20-Datos!X20)/Datos!X20," - ")</f>
        <v>-0.25774087528109324</v>
      </c>
      <c r="H20" s="802">
        <f>IF(ISNUMBER((Tasas!B20-Datos!BD20)/Datos!BD20),(Tasas!B20-Datos!BD20)/Datos!BD20," - ")</f>
        <v>8.2924498728728716E-2</v>
      </c>
      <c r="I20" s="803">
        <f>IF(ISNUMBER((Tasas!C20-Datos!BE20)/Datos!BE20),(Tasas!C20-Datos!BE20)/Datos!BE20," - ")</f>
        <v>0.21211372155402958</v>
      </c>
      <c r="J20" s="804">
        <f>IF(ISNUMBER((Tasas!D20-Datos!BF20)/Datos!BF20),(Tasas!D20-Datos!BF20)/Datos!BF20," - ")</f>
        <v>-0.45576281842226979</v>
      </c>
      <c r="K20" s="804">
        <f>IF(ISNUMBER((Tasas!E20-Datos!BG20)/Datos!BG20),(Tasas!E20-Datos!BG20)/Datos!BG20," - ")</f>
        <v>0.14326692731707927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yU3MvWhY3ejUjrsJ38BkmNAI3x5uVG7YhcEAhe7qASUcF8AakoH0SErBX/acs48MyGILmc5NZHIVDkNBAVeiQ==" saltValue="p+ej87fmUBHcLGRF6DXvz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MARBELLA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0.94465220643231118</v>
      </c>
      <c r="C9" s="442">
        <f>IF(ISNUMBER(NºAsuntos!I9/NºAsuntos!G9),NºAsuntos!I9/NºAsuntos!G9," - ")</f>
        <v>4.8353127474267614</v>
      </c>
      <c r="D9" s="443">
        <f>IF(ISNUMBER('Resol  Asuntos'!D9/NºAsuntos!G9),'Resol  Asuntos'!D9/NºAsuntos!G9," - ")</f>
        <v>0.26286619160728425</v>
      </c>
      <c r="E9" s="444">
        <f>IF(ISNUMBER((NºAsuntos!C9+NºAsuntos!E9)/NºAsuntos!G9),(NºAsuntos!C9+NºAsuntos!E9)/NºAsuntos!G9," - ")</f>
        <v>5.823436262866192</v>
      </c>
      <c r="G9" s="462"/>
    </row>
    <row r="10" spans="1:7" ht="21">
      <c r="A10" s="401" t="str">
        <f>Datos!A10</f>
        <v>Sección De Violencia sobre la Mujer del TI</v>
      </c>
      <c r="B10" s="441">
        <f>IF(ISNUMBER(NºAsuntos!G10/NºAsuntos!E10),NºAsuntos!G10/NºAsuntos!E10," - ")</f>
        <v>0.8125</v>
      </c>
      <c r="C10" s="442">
        <f>IF(ISNUMBER(NºAsuntos!I10/NºAsuntos!G10),NºAsuntos!I10/NºAsuntos!G10," - ")</f>
        <v>3.0256410256410255</v>
      </c>
      <c r="D10" s="443">
        <f>IF(ISNUMBER('Resol  Asuntos'!D10/NºAsuntos!G10),'Resol  Asuntos'!D10/NºAsuntos!G10," - ")</f>
        <v>0.35897435897435898</v>
      </c>
      <c r="E10" s="444">
        <f>IF(ISNUMBER((NºAsuntos!C10+NºAsuntos!E10)/NºAsuntos!G10),(NºAsuntos!C10+NºAsuntos!E10)/NºAsuntos!G10," - ")</f>
        <v>4.0256410256410255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0.9423218221895665</v>
      </c>
      <c r="C13" s="856">
        <f>IF(ISNUMBER(NºAsuntos!I13/NºAsuntos!G13),NºAsuntos!I13/NºAsuntos!G13," - ")</f>
        <v>4.8077972709551657</v>
      </c>
      <c r="D13" s="857">
        <f>IF(ISNUMBER('Resol  Asuntos'!D13/NºAsuntos!G13),'Resol  Asuntos'!D13/NºAsuntos!G13," - ")</f>
        <v>0.26432748538011697</v>
      </c>
      <c r="E13" s="858">
        <f>IF(ISNUMBER((NºAsuntos!C13+NºAsuntos!E13)/NºAsuntos!G13),(NºAsuntos!C13+NºAsuntos!E13)/NºAsuntos!G13," - ")</f>
        <v>5.7961013645224169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0.89116593712693992</v>
      </c>
      <c r="C15" s="442">
        <f>IF(ISNUMBER(NºAsuntos!I15/NºAsuntos!G15),NºAsuntos!I15/NºAsuntos!G15," - ")</f>
        <v>1.2444742129939719</v>
      </c>
      <c r="D15" s="443">
        <f>IF(ISNUMBER('Resol  Asuntos'!D15/NºAsuntos!G15),'Resol  Asuntos'!D15/NºAsuntos!G15," - ")</f>
        <v>8.6849743246260325E-2</v>
      </c>
      <c r="E15" s="444">
        <f>IF(ISNUMBER((NºAsuntos!C15+NºAsuntos!E15)/NºAsuntos!G15),(NºAsuntos!C15+NºAsuntos!E15)/NºAsuntos!G15," - ")</f>
        <v>2.2409019870506808</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1.1308411214953271</v>
      </c>
      <c r="C18" s="442">
        <f>IF(ISNUMBER(NºAsuntos!I18/NºAsuntos!G18),NºAsuntos!I18/NºAsuntos!G18," - ")</f>
        <v>0.90909090909090906</v>
      </c>
      <c r="D18" s="443">
        <f>IF(ISNUMBER('Resol  Asuntos'!D18/NºAsuntos!G18),'Resol  Asuntos'!D18/NºAsuntos!G18," - ")</f>
        <v>9.5041322314049589E-2</v>
      </c>
      <c r="E18" s="444">
        <f>IF(ISNUMBER((NºAsuntos!C18+NºAsuntos!E18)/NºAsuntos!G18),(NºAsuntos!C18+NºAsuntos!E18)/NºAsuntos!G18," - ")</f>
        <v>1.9235537190082646</v>
      </c>
      <c r="G18" s="462"/>
    </row>
    <row r="19" spans="1:7" ht="14.25" thickTop="1" thickBot="1">
      <c r="A19" s="845" t="str">
        <f>Datos!A19</f>
        <v>TOTAL</v>
      </c>
      <c r="B19" s="855">
        <f>IF(ISNUMBER(NºAsuntos!G19/NºAsuntos!E19),NºAsuntos!G19/NºAsuntos!E19," - ")</f>
        <v>0.90997433076640999</v>
      </c>
      <c r="C19" s="856">
        <f>IF(ISNUMBER(NºAsuntos!I19/NºAsuntos!G19),NºAsuntos!I19/NºAsuntos!G19," - ")</f>
        <v>1.2117670763651018</v>
      </c>
      <c r="D19" s="859">
        <f>IF(ISNUMBER('Resol  Asuntos'!D19/NºAsuntos!G19),'Resol  Asuntos'!D19/NºAsuntos!G19," - ")</f>
        <v>8.7648599637316138E-2</v>
      </c>
      <c r="E19" s="858">
        <f>IF(ISNUMBER((NºAsuntos!C19+NºAsuntos!E19)/NºAsuntos!G19),(NºAsuntos!C19+NºAsuntos!E19)/NºAsuntos!G19," - ")</f>
        <v>2.2099536570622607</v>
      </c>
      <c r="G19" s="462"/>
    </row>
    <row r="20" spans="1:7" ht="15.75" customHeight="1" thickTop="1" thickBot="1">
      <c r="A20" s="790" t="str">
        <f>Datos!A20</f>
        <v>TOTAL JURISDICCIONES</v>
      </c>
      <c r="B20" s="805">
        <f>IF(ISNUMBER(NºAsuntos!G20/NºAsuntos!E20),NºAsuntos!G20/NºAsuntos!E20," - ")</f>
        <v>0.92074363992172215</v>
      </c>
      <c r="C20" s="806">
        <f>IF(ISNUMBER(NºAsuntos!I20/NºAsuntos!G20),NºAsuntos!I20/NºAsuntos!G20," - ")</f>
        <v>2.4370350690754519</v>
      </c>
      <c r="D20" s="807">
        <f>IF(ISNUMBER('Resol  Asuntos'!D20/NºAsuntos!G20),'Resol  Asuntos'!D20/NºAsuntos!G20," - ")</f>
        <v>0.14784803400637619</v>
      </c>
      <c r="E20" s="808">
        <f>IF(ISNUMBER((NºAsuntos!C20+NºAsuntos!E20)/NºAsuntos!G20),(NºAsuntos!C20+NºAsuntos!E20)/NºAsuntos!G20," - ")</f>
        <v>3.4318544102019128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ZV4B5u/pmB4dr71jVfp/VZu/p20ApRPTiyCoJGoMZBo2YmXbggk2dPVqhdZqIlLvPsco+kbnybNglcckF/4zw==" saltValue="Qafx41Qv7NGw1uk5NLSN+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MARBELLA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247</v>
      </c>
      <c r="C9" s="159" t="str">
        <f>Datos!A9</f>
        <v>Sección Civil del T.I</v>
      </c>
      <c r="D9" s="159"/>
      <c r="E9" s="1020">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753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537</v>
      </c>
      <c r="Y9" s="333">
        <f>SUM(W9:X9)</f>
        <v>537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13333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664</v>
      </c>
      <c r="AJ9" s="228" t="str">
        <f>IF(ISNUMBER(Datos!BW9),Datos!BW9," - ")</f>
        <v xml:space="preserve"> - </v>
      </c>
      <c r="AK9" s="227" t="str">
        <f>IF(ISNUMBER(Datos!BX9),Datos!BX9," - ")</f>
        <v xml:space="preserve"> - </v>
      </c>
      <c r="AL9" s="242">
        <f>IF(ISNUMBER(NºAsuntos!G9/NºAsuntos!E9),NºAsuntos!G9/NºAsuntos!E9," - ")</f>
        <v>0.94465220643231118</v>
      </c>
      <c r="AM9" s="259">
        <f>IF(ISNUMBER(((NºAsuntos!I9/NºAsuntos!G9)*11)/factor_trimestre),((NºAsuntos!I9/NºAsuntos!G9)*11)/factor_trimestre," - ")</f>
        <v>14.505938242280285</v>
      </c>
      <c r="AN9" s="243">
        <f>IF(ISNUMBER('Resol  Asuntos'!D9/NºAsuntos!G9),'Resol  Asuntos'!D9/NºAsuntos!G9," - ")</f>
        <v>0.26286619160728425</v>
      </c>
      <c r="AO9" s="244">
        <f>IF(ISNUMBER((NºAsuntos!C9+NºAsuntos!E9)/NºAsuntos!G9),(NºAsuntos!C9+NºAsuntos!E9)/NºAsuntos!G9," - ")</f>
        <v>5.823436262866192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109</v>
      </c>
      <c r="G10" s="332">
        <f>IF(ISNUMBER(Datos!I10),Datos!I10," - ")</f>
        <v>109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6</v>
      </c>
      <c r="Y10" s="333">
        <f t="shared" ref="Y10:Y12" si="0">SUM(W10:X10)</f>
        <v>45</v>
      </c>
      <c r="Z10" s="334" t="str">
        <f>IF(ISNUMBER(Datos!CC10),Datos!CC10," - ")</f>
        <v xml:space="preserve"> - </v>
      </c>
      <c r="AA10" s="331">
        <f>IF(ISNUMBER(Datos!L10),Datos!L10,"-")</f>
        <v>118</v>
      </c>
      <c r="AB10" s="333">
        <f>IF(ISNUMBER(Datos!R10),Datos!R10," - ")</f>
        <v>50</v>
      </c>
      <c r="AC10" s="333">
        <f t="shared" ref="AC10:AC12" si="1">IF(ISNUMBER(AA10+AB10),AA10+AB10," - ")</f>
        <v>168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0.8125</v>
      </c>
      <c r="AM10" s="259">
        <f>IF(ISNUMBER(((NºAsuntos!I10/NºAsuntos!G10)*11)/factor_trimestre),((NºAsuntos!I10/NºAsuntos!G10)*11)/factor_trimestre," - ")</f>
        <v>9.0769230769230784</v>
      </c>
      <c r="AN10" s="243">
        <f>IF(ISNUMBER('Resol  Asuntos'!D10/NºAsuntos!G10),'Resol  Asuntos'!D10/NºAsuntos!G10," - ")</f>
        <v>0.35897435897435898</v>
      </c>
      <c r="AO10" s="244">
        <f>IF(ISNUMBER((NºAsuntos!C10+NºAsuntos!E10)/NºAsuntos!G10),(NºAsuntos!C10+NºAsuntos!E10)/NºAsuntos!G10," - ")</f>
        <v>4.0256410256410255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109</v>
      </c>
      <c r="G13" s="863">
        <f t="shared" si="3"/>
        <v>109</v>
      </c>
      <c r="H13" s="862">
        <f t="shared" si="3"/>
        <v>0</v>
      </c>
      <c r="I13" s="864">
        <f t="shared" si="3"/>
        <v>0</v>
      </c>
      <c r="J13" s="864">
        <f t="shared" si="3"/>
        <v>0</v>
      </c>
      <c r="K13" s="864">
        <f t="shared" si="3"/>
        <v>0</v>
      </c>
      <c r="L13" s="864">
        <f t="shared" si="3"/>
        <v>767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39</v>
      </c>
      <c r="X13" s="864">
        <f t="shared" si="4"/>
        <v>543</v>
      </c>
      <c r="Y13" s="865">
        <f t="shared" si="4"/>
        <v>582</v>
      </c>
      <c r="Z13" s="865">
        <f t="shared" si="4"/>
        <v>0</v>
      </c>
      <c r="AA13" s="865">
        <f t="shared" si="4"/>
        <v>118</v>
      </c>
      <c r="AB13" s="865">
        <f t="shared" si="4"/>
        <v>13383</v>
      </c>
      <c r="AC13" s="865">
        <f t="shared" si="4"/>
        <v>168</v>
      </c>
      <c r="AD13" s="865">
        <f t="shared" si="4"/>
        <v>0</v>
      </c>
      <c r="AE13" s="869">
        <f t="shared" si="4"/>
        <v>0</v>
      </c>
      <c r="AF13" s="862">
        <f t="shared" si="4"/>
        <v>0</v>
      </c>
      <c r="AG13" s="870">
        <f t="shared" si="4"/>
        <v>0</v>
      </c>
      <c r="AH13" s="867">
        <f t="shared" si="4"/>
        <v>0</v>
      </c>
      <c r="AI13" s="862">
        <f t="shared" si="4"/>
        <v>678</v>
      </c>
      <c r="AJ13" s="864">
        <f t="shared" si="4"/>
        <v>0</v>
      </c>
      <c r="AK13" s="867">
        <f>SUBTOTAL(9,AK9:AK12)</f>
        <v>0</v>
      </c>
      <c r="AL13" s="871">
        <f>IF(ISNUMBER(NºAsuntos!G13/NºAsuntos!E13),NºAsuntos!G13/NºAsuntos!E13," - ")</f>
        <v>0.9423218221895665</v>
      </c>
      <c r="AM13" s="871">
        <f>IF(ISNUMBER(((NºAsuntos!I13/NºAsuntos!G13)*11)/factor_trimestre),((NºAsuntos!I13/NºAsuntos!G13)*11)/factor_trimestre," - ")</f>
        <v>14.423391812865498</v>
      </c>
      <c r="AN13" s="872">
        <f>IF(ISNUMBER('Resol  Asuntos'!D13/NºAsuntos!G13),'Resol  Asuntos'!D13/NºAsuntos!G13," - ")</f>
        <v>0.26432748538011697</v>
      </c>
      <c r="AO13" s="873">
        <f>IF(ISNUMBER((NºAsuntos!C13+NºAsuntos!E13)/NºAsuntos!G13),(NºAsuntos!C13+NºAsuntos!E13)/NºAsuntos!G13," - ")</f>
        <v>5.7961013645224169</v>
      </c>
      <c r="AP13" s="874" t="str">
        <f t="shared" si="2"/>
        <v xml:space="preserve"> - </v>
      </c>
      <c r="AQ13" s="874">
        <f>IF(ISNUMBER((H13-W13+K13)/(F13)),(H13-W13+K13)/(F13)," - ")</f>
        <v>-0.3577981651376147</v>
      </c>
      <c r="AR13" s="875">
        <f>IF(ISNUMBER((Datos!P13-Datos!Q13)/(Datos!R13-Datos!P13+Datos!Q13)),(Datos!P13-Datos!Q13)/(Datos!R13-Datos!P13+Datos!Q13)," - ")</f>
        <v>1.7022570104111255E-2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5027</v>
      </c>
      <c r="G15" s="332">
        <f>IF(ISNUMBER(IF(D_I="SI",Datos!I15,Datos!I15+Datos!AC15)),IF(D_I="SI",Datos!I15,Datos!I15+Datos!AC15)," - ")</f>
        <v>5011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4479</v>
      </c>
      <c r="X15" s="225">
        <f>IF(ISNUMBER(Datos!Q15),Datos!Q15," - ")</f>
        <v>121</v>
      </c>
      <c r="Y15" s="333">
        <f>SUM(W15)</f>
        <v>4479</v>
      </c>
      <c r="Z15" s="334" t="str">
        <f>IF(ISNUMBER(Datos!CC15),Datos!CC15," - ")</f>
        <v xml:space="preserve"> - </v>
      </c>
      <c r="AA15" s="331">
        <f>IF(ISNUMBER(IF(D_I="SI",Datos!L15,Datos!L15+Datos!AF15)),IF(D_I="SI",Datos!L15,Datos!L15+Datos!AF15)," - ")</f>
        <v>5574</v>
      </c>
      <c r="AB15" s="333">
        <f>IF(ISNUMBER(Datos!R15),Datos!R15," - ")</f>
        <v>222</v>
      </c>
      <c r="AC15" s="333">
        <f t="shared" ref="AC15:AC18" si="6">IF(ISNUMBER(AA15+AB15),AA15+AB15," - ")</f>
        <v>5796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389</v>
      </c>
      <c r="AJ15" s="230" t="str">
        <f>IF(ISNUMBER(Datos!BW15),Datos!BW15," - ")</f>
        <v xml:space="preserve"> - </v>
      </c>
      <c r="AK15" s="231" t="str">
        <f>IF(ISNUMBER(Datos!BX15),Datos!BX15," - ")</f>
        <v xml:space="preserve"> - </v>
      </c>
      <c r="AL15" s="242">
        <f>IF(ISNUMBER(NºAsuntos!G15/NºAsuntos!E15),NºAsuntos!G15/NºAsuntos!E15," - ")</f>
        <v>0.89116593712693992</v>
      </c>
      <c r="AM15" s="259">
        <f>IF(ISNUMBER(((NºAsuntos!I15/NºAsuntos!G15)*11)/factor_trimestre),((NºAsuntos!I15/NºAsuntos!G15)*11)/factor_trimestre," - ")</f>
        <v>3.7334226389819158</v>
      </c>
      <c r="AN15" s="243">
        <f>IF(ISNUMBER('Resol  Asuntos'!D15/NºAsuntos!G15),'Resol  Asuntos'!D15/NºAsuntos!G15," - ")</f>
        <v>8.6849743246260325E-2</v>
      </c>
      <c r="AO15" s="244">
        <f>IF(ISNUMBER((NºAsuntos!C15+NºAsuntos!E15)/NºAsuntos!G15),(NºAsuntos!C15+NºAsuntos!E15)/NºAsuntos!G15," - ")</f>
        <v>2.2409019870506808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503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484</v>
      </c>
      <c r="X18" s="225">
        <f>IF(ISNUMBER(Datos!Q18),Datos!Q18," - ")</f>
        <v>17</v>
      </c>
      <c r="Y18" s="333">
        <f t="shared" si="9"/>
        <v>501</v>
      </c>
      <c r="Z18" s="334" t="str">
        <f>IF(ISNUMBER(Datos!CC18),Datos!CC18," - ")</f>
        <v xml:space="preserve"> - </v>
      </c>
      <c r="AA18" s="331">
        <f>IF(ISNUMBER(Datos!L18),Datos!L18,"-")</f>
        <v>440</v>
      </c>
      <c r="AB18" s="333">
        <f>IF(ISNUMBER(Datos!R18),Datos!R18," - ")</f>
        <v>24</v>
      </c>
      <c r="AC18" s="333">
        <f t="shared" si="6"/>
        <v>464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46</v>
      </c>
      <c r="AJ18" s="230" t="str">
        <f>IF(ISNUMBER(Datos!BW18),Datos!BW18," - ")</f>
        <v xml:space="preserve"> - </v>
      </c>
      <c r="AK18" s="231" t="str">
        <f>IF(ISNUMBER(Datos!BX18),Datos!BX18," - ")</f>
        <v xml:space="preserve"> - </v>
      </c>
      <c r="AL18" s="242">
        <f>IF(ISNUMBER(NºAsuntos!G18/NºAsuntos!E18),NºAsuntos!G18/NºAsuntos!E18," - ")</f>
        <v>1.1308411214953271</v>
      </c>
      <c r="AM18" s="259">
        <f>IF(ISNUMBER(((NºAsuntos!I18/NºAsuntos!G18)*11)/factor_trimestre),((NºAsuntos!I18/NºAsuntos!G18)*11)/factor_trimestre," - ")</f>
        <v>2.7272727272727275</v>
      </c>
      <c r="AN18" s="243">
        <f>IF(ISNUMBER('Resol  Asuntos'!D18/NºAsuntos!G18),'Resol  Asuntos'!D18/NºAsuntos!G18," - ")</f>
        <v>9.5041322314049589E-2</v>
      </c>
      <c r="AO18" s="244">
        <f>IF(ISNUMBER((NºAsuntos!C18+NºAsuntos!E18)/NºAsuntos!G18),(NºAsuntos!C18+NºAsuntos!E18)/NºAsuntos!G18," - ")</f>
        <v>1.9235537190082646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5027</v>
      </c>
      <c r="G19" s="863">
        <f>SUBTOTAL(9,G15:G18)</f>
        <v>5514</v>
      </c>
      <c r="H19" s="862">
        <f t="shared" ref="H19:O19" si="12">SUBTOTAL(9,H14:H18)</f>
        <v>0</v>
      </c>
      <c r="I19" s="864">
        <f t="shared" si="12"/>
        <v>0</v>
      </c>
      <c r="J19" s="864">
        <f t="shared" si="12"/>
        <v>0</v>
      </c>
      <c r="K19" s="864">
        <f t="shared" si="12"/>
        <v>0</v>
      </c>
      <c r="L19" s="864">
        <f t="shared" si="12"/>
        <v>94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4963</v>
      </c>
      <c r="X19" s="864">
        <f t="shared" si="13"/>
        <v>138</v>
      </c>
      <c r="Y19" s="865">
        <f t="shared" si="13"/>
        <v>4980</v>
      </c>
      <c r="Z19" s="865">
        <f t="shared" si="13"/>
        <v>0</v>
      </c>
      <c r="AA19" s="865">
        <f t="shared" si="13"/>
        <v>6014</v>
      </c>
      <c r="AB19" s="865">
        <f t="shared" si="13"/>
        <v>246</v>
      </c>
      <c r="AC19" s="865">
        <f t="shared" si="13"/>
        <v>6260</v>
      </c>
      <c r="AD19" s="865">
        <f t="shared" si="13"/>
        <v>0</v>
      </c>
      <c r="AE19" s="869">
        <f t="shared" si="13"/>
        <v>0</v>
      </c>
      <c r="AF19" s="862">
        <f t="shared" si="13"/>
        <v>0</v>
      </c>
      <c r="AG19" s="870">
        <f t="shared" si="13"/>
        <v>0</v>
      </c>
      <c r="AH19" s="867">
        <f t="shared" si="13"/>
        <v>0</v>
      </c>
      <c r="AI19" s="862">
        <f t="shared" si="13"/>
        <v>435</v>
      </c>
      <c r="AJ19" s="864">
        <f t="shared" si="13"/>
        <v>0</v>
      </c>
      <c r="AK19" s="867">
        <f t="shared" si="13"/>
        <v>0</v>
      </c>
      <c r="AL19" s="871">
        <f>IF(ISNUMBER(NºAsuntos!G19/NºAsuntos!E19),NºAsuntos!G19/NºAsuntos!E19," - ")</f>
        <v>0.90997433076640999</v>
      </c>
      <c r="AM19" s="871">
        <f>IF(ISNUMBER(((NºAsuntos!I19/NºAsuntos!G19)*11)/factor_trimestre),((NºAsuntos!I19/NºAsuntos!G19)*11)/factor_trimestre," - ")</f>
        <v>3.6353012290953055</v>
      </c>
      <c r="AN19" s="872">
        <f>IF(ISNUMBER('Resol  Asuntos'!D19/NºAsuntos!G19),'Resol  Asuntos'!D19/NºAsuntos!G19," - ")</f>
        <v>8.7648599637316138E-2</v>
      </c>
      <c r="AO19" s="873">
        <f>IF(ISNUMBER((NºAsuntos!C19+NºAsuntos!E19)/NºAsuntos!G19),(NºAsuntos!C19+NºAsuntos!E19)/NºAsuntos!G19," - ")</f>
        <v>2.2099536570622607</v>
      </c>
      <c r="AP19" s="874" t="str">
        <f t="shared" si="2"/>
        <v xml:space="preserve"> - </v>
      </c>
      <c r="AQ19" s="874">
        <f>IF(ISNUMBER((H19-W19+K19)/(F19)),(H19-W19+K19)/(F19)," - ")</f>
        <v>-0.98726874875671378</v>
      </c>
      <c r="AR19" s="875">
        <f>IF(ISNUMBER((Datos!P19-Datos!Q19)/(Datos!R19-Datos!P19+Datos!Q19)),(Datos!P19-Datos!Q19)/(Datos!R19-Datos!P19+Datos!Q19)," - ")</f>
        <v>-0.15172413793103448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17</v>
      </c>
      <c r="F20" s="817">
        <f t="shared" si="15"/>
        <v>5136</v>
      </c>
      <c r="G20" s="818">
        <f t="shared" si="15"/>
        <v>5623</v>
      </c>
      <c r="H20" s="817">
        <f t="shared" si="15"/>
        <v>0</v>
      </c>
      <c r="I20" s="819">
        <f t="shared" si="15"/>
        <v>0</v>
      </c>
      <c r="J20" s="819">
        <f t="shared" si="15"/>
        <v>0</v>
      </c>
      <c r="K20" s="878">
        <f t="shared" si="15"/>
        <v>0</v>
      </c>
      <c r="L20" s="819">
        <f t="shared" si="15"/>
        <v>861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5002</v>
      </c>
      <c r="X20" s="818">
        <f t="shared" si="16"/>
        <v>681</v>
      </c>
      <c r="Y20" s="825">
        <f t="shared" si="16"/>
        <v>5562</v>
      </c>
      <c r="Z20" s="825">
        <f t="shared" si="16"/>
        <v>0</v>
      </c>
      <c r="AA20" s="825">
        <f t="shared" si="16"/>
        <v>6132</v>
      </c>
      <c r="AB20" s="825">
        <f t="shared" si="16"/>
        <v>13629</v>
      </c>
      <c r="AC20" s="825">
        <f t="shared" si="16"/>
        <v>6428</v>
      </c>
      <c r="AD20" s="825">
        <f t="shared" si="16"/>
        <v>0</v>
      </c>
      <c r="AE20" s="827">
        <f t="shared" si="16"/>
        <v>0</v>
      </c>
      <c r="AF20" s="828">
        <f t="shared" si="16"/>
        <v>0</v>
      </c>
      <c r="AG20" s="829">
        <f t="shared" si="16"/>
        <v>0</v>
      </c>
      <c r="AH20" s="827">
        <f t="shared" si="16"/>
        <v>0</v>
      </c>
      <c r="AI20" s="817">
        <f t="shared" si="16"/>
        <v>1113</v>
      </c>
      <c r="AJ20" s="817">
        <f t="shared" si="16"/>
        <v>0</v>
      </c>
      <c r="AK20" s="827">
        <f t="shared" si="16"/>
        <v>0</v>
      </c>
      <c r="AL20" s="881">
        <f>IF(ISNUMBER(NºAsuntos!G20/NºAsuntos!E20),NºAsuntos!G20/NºAsuntos!E20," - ")</f>
        <v>0.92074363992172215</v>
      </c>
      <c r="AM20" s="882">
        <f>IF(ISNUMBER(((NºAsuntos!I20/NºAsuntos!G20)*11)/factor_trimestre),((NºAsuntos!I20/NºAsuntos!G20)*11)/factor_trimestre," - ")</f>
        <v>7.3111052072263556</v>
      </c>
      <c r="AN20" s="882">
        <f>IF(ISNUMBER('Resol  Asuntos'!D20/NºAsuntos!G20),'Resol  Asuntos'!D20/NºAsuntos!G20," - ")</f>
        <v>0.14784803400637619</v>
      </c>
      <c r="AO20" s="883">
        <f>IF(ISNUMBER((NºAsuntos!C20+NºAsuntos!E20)/NºAsuntos!G20),(NºAsuntos!C20+NºAsuntos!E20)/NºAsuntos!G20," - ")</f>
        <v>3.4318544102019128</v>
      </c>
      <c r="AP20" s="884" t="str">
        <f t="shared" si="2"/>
        <v xml:space="preserve"> - </v>
      </c>
      <c r="AQ20" s="885">
        <f>IF(OR(ISNUMBER(FIND("01",Criterios!A8,1)),ISNUMBER(FIND("02",Criterios!A8,1)),ISNUMBER(FIND("03",Criterios!A8,1)),ISNUMBER(FIND("04",Criterios!A8,1))),(I20-W20+K20)/(F20-K20),(H20-W20+K20)/(F20-K20))</f>
        <v>-0.97390965732087231</v>
      </c>
      <c r="AR20" s="886">
        <f>IF(ISNUMBER((Datos!P20-Datos!Q20)/(Datos!R20-Datos!P20+Datos!Q20)),(Datos!P20-Datos!Q20)/(Datos!R20-Datos!P20+Datos!Q20)," - ")</f>
        <v>1.3383894713361589E-2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2249.1999999999998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3.8064273129653858</v>
      </c>
      <c r="F22" s="251">
        <f>IF(ISNUMBER(STDEV(F8:F19)),STDEV(F8:F19),"-")</f>
        <v>2839.4086238745795</v>
      </c>
      <c r="G22" s="252">
        <f>IF(ISNUMBER(STDEV(G8:G19)),STDEV(G8:G19),"-")</f>
        <v>2761.185651128877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2495.7015446563319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288.99550169509558</v>
      </c>
      <c r="AJ22" s="251">
        <f t="shared" si="20"/>
        <v>0</v>
      </c>
      <c r="AK22" s="253">
        <f t="shared" si="20"/>
        <v>0</v>
      </c>
      <c r="AL22" s="248">
        <f t="shared" si="20"/>
        <v>0.10580903149789771</v>
      </c>
      <c r="AM22" s="249">
        <f t="shared" si="20"/>
        <v>5.4735938146210099</v>
      </c>
      <c r="AN22" s="249">
        <f t="shared" si="20"/>
        <v>0.11787977270610943</v>
      </c>
      <c r="AO22" s="250">
        <f t="shared" si="20"/>
        <v>1.8170418997817948</v>
      </c>
      <c r="AP22" s="290" t="str">
        <f t="shared" si="20"/>
        <v>-</v>
      </c>
      <c r="AQ22" s="291">
        <f t="shared" si="20"/>
        <v>0.44510291823451864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bC8aHkzQ0mTpN76YPxunjG/uNTyUX6xabT1E4ApPWUyaKx2odg6MPAaW6uGays/q7k2le2aueiJH+fdyuEYcQ==" saltValue="BhYRS9jEsZ3o4EA+YRei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MARBELLA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-0.20952380952380953</v>
      </c>
      <c r="I9" s="349">
        <f>IF(ISNUMBER((Tasas!C9-Datos!BE9)/Datos!BE9),(Tasas!C9-Datos!BE9)/Datos!BE9," - ")</f>
        <v>0.41539078131777707</v>
      </c>
      <c r="J9" s="348">
        <f>IF(ISNUMBER((Tasas!D9-Datos!BF9)/Datos!BF9),(Tasas!D9-Datos!BF9)/Datos!BF9," - ")</f>
        <v>-0.46999020834211769</v>
      </c>
      <c r="K9" s="350">
        <f>IF(ISNUMBER((Tasas!E9-Datos!BG9)/Datos!BG9),(Tasas!E9-Datos!BG9)/Datos!BG9," - ")</f>
        <v>0.31886075208307152</v>
      </c>
      <c r="M9" t="e">
        <f>IF(Monitorios="SI",Datos!CE9,0)</f>
        <v>#REF!</v>
      </c>
      <c r="N9" t="e">
        <f>IF(Monitorios="SI",Datos!CF9,0)</f>
        <v>#REF!</v>
      </c>
      <c r="O9" t="e">
        <f>IF(Monitorios="SI",Datos!CG9,0)</f>
        <v>#REF!</v>
      </c>
      <c r="P9" t="e">
        <f>IF(Monitorios="SI",Datos!CH9,0)</f>
        <v>#REF!</v>
      </c>
      <c r="Q9">
        <f>IF(J_V="SI",0,Datos!AG9)</f>
        <v>289</v>
      </c>
      <c r="R9">
        <f>IF(J_V="SI",0,Datos!AH9)</f>
        <v>145</v>
      </c>
      <c r="S9">
        <f>IF(J_V="SI",0,Datos!AI9)</f>
        <v>142</v>
      </c>
      <c r="T9">
        <f>IF(J_V="SI",0,Datos!AJ9)</f>
        <v>292</v>
      </c>
    </row>
    <row r="10" spans="2:20" ht="14.25">
      <c r="B10" s="274" t="s">
        <v>247</v>
      </c>
      <c r="C10" s="7" t="str">
        <f>Datos!A10</f>
        <v>Sección De Violencia sobre la Mujer del TI</v>
      </c>
      <c r="D10" s="351">
        <f>IF(ISNUMBER((Datos!I10-Datos!S10)/Datos!S10),(Datos!I10-Datos!S10)/Datos!S10," - ")</f>
        <v>0.11224489795918367</v>
      </c>
      <c r="E10" s="347">
        <f>IF(ISNUMBER((Datos!J10-Datos!T10)/Datos!T10),(Datos!J10-Datos!T10)/Datos!T10," - ")</f>
        <v>2.1276595744680851E-2</v>
      </c>
      <c r="F10" s="347">
        <f>IF(ISNUMBER((Datos!K10-Datos!U10)/Datos!U10),(Datos!K10-Datos!U10)/Datos!U10," - ")</f>
        <v>8.3333333333333329E-2</v>
      </c>
      <c r="G10" s="348">
        <f>IF(ISNUMBER((Datos!L10-Datos!V10)/Datos!V10),(Datos!L10-Datos!V10)/Datos!V10," - ")</f>
        <v>8.2568807339449546E-2</v>
      </c>
      <c r="H10" s="229">
        <f>IF(ISNUMBER((Datos!M10-Datos!W10)/Datos!W10),(Datos!M10-Datos!W10)/Datos!W10," - ")</f>
        <v>-0.22222222222222221</v>
      </c>
      <c r="I10" s="349">
        <f>IF(ISNUMBER((Tasas!C10-Datos!BE10)/Datos!BE10),(Tasas!C10-Datos!BE10)/Datos!BE10," - ")</f>
        <v>-7.0571630204657482E-4</v>
      </c>
      <c r="J10" s="348">
        <f>IF(ISNUMBER((Tasas!D10-Datos!BF10)/Datos!BF10),(Tasas!D10-Datos!BF10)/Datos!BF10," - ")</f>
        <v>-0.28205128205128205</v>
      </c>
      <c r="K10" s="350">
        <f>IF(ISNUMBER((Tasas!E10-Datos!BG10)/Datos!BG10),(Tasas!E10-Datos!BG10)/Datos!BG10," - ")</f>
        <v>-5.3050397877983896E-4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-0.20979020979020979</v>
      </c>
      <c r="I13" s="356">
        <f>IF(ISNUMBER((Tasas!C13-Datos!BE13)/Datos!BE13),(Tasas!C13-Datos!BE13)/Datos!BE13," - ")</f>
        <v>0.40873446105200023</v>
      </c>
      <c r="J13" s="354">
        <f>IF(ISNUMBER((Tasas!D13-Datos!BF13)/Datos!BF13),(Tasas!D13-Datos!BF13)/Datos!BF13," - ")</f>
        <v>-0.46708168270137707</v>
      </c>
      <c r="K13" s="357">
        <f>IF(ISNUMBER((Tasas!E13-Datos!BG13)/Datos!BG13),(Tasas!E13-Datos!BG13)/Datos!BG13," - ")</f>
        <v>0.31367682025576754</v>
      </c>
      <c r="M13" t="e">
        <f>IF(Monitorios="SI",Datos!CE13,0)</f>
        <v>#REF!</v>
      </c>
      <c r="N13" t="e">
        <f>IF(Monitorios="SI",Datos!CF13,0)</f>
        <v>#REF!</v>
      </c>
      <c r="O13" t="e">
        <f>IF(Monitorios="SI",Datos!CG13,0)</f>
        <v>#REF!</v>
      </c>
      <c r="P13" t="e">
        <f>IF(Monitorios="SI",Datos!CH13,0)</f>
        <v>#REF!</v>
      </c>
      <c r="Q13">
        <f>IF(J_V="SI",0,Datos!AG13)</f>
        <v>289</v>
      </c>
      <c r="R13">
        <f>IF(J_V="SI",0,Datos!AH13)</f>
        <v>145</v>
      </c>
      <c r="S13">
        <f>IF(J_V="SI",0,Datos!AI13)</f>
        <v>142</v>
      </c>
      <c r="T13">
        <f>IF(J_V="SI",0,Datos!AJ13)</f>
        <v>292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0.24219137332672286</v>
      </c>
      <c r="E15" s="347">
        <f>IF(ISNUMBER(
   IF(D_I="SI",(Datos!J15-Datos!T15)/Datos!T15,(Datos!J15+Datos!AD15-(Datos!T15+Datos!AL15))/(Datos!T15+Datos!AL15))
     ),IF(D_I="SI",(Datos!J15-Datos!T15)/Datos!T15,(Datos!J15+Datos!AD15-(Datos!T15+Datos!AL15))/(Datos!T15+Datos!AL15))," - ")</f>
        <v>-5.736894164193867E-3</v>
      </c>
      <c r="F15" s="347">
        <f>IF(ISNUMBER(
   IF(D_I="SI",(Datos!K15-Datos!U15)/Datos!U15,(Datos!K15+Datos!AE15-(Datos!U15+Datos!AM15))/(Datos!U15+Datos!AM15))
     ),IF(D_I="SI",(Datos!K15-Datos!U15)/Datos!U15,(Datos!K15+Datos!AE15-(Datos!U15+Datos!AM15))/(Datos!U15+Datos!AM15))," - ")</f>
        <v>-6.8427620632279529E-2</v>
      </c>
      <c r="G15" s="348">
        <f>IF(ISNUMBER(
   IF(D_I="SI",(Datos!L15-Datos!V15)/Datos!V15,(Datos!L15+Datos!AF15-(Datos!V15+Datos!AN15))/(Datos!V15+Datos!AN15))
     ),IF(D_I="SI",(Datos!L15-Datos!V15)/Datos!V15,(Datos!L15+Datos!AF15-(Datos!V15+Datos!AN15))/(Datos!V15+Datos!AN15))," - ")</f>
        <v>0.27814721394175645</v>
      </c>
      <c r="H15" s="229">
        <f>IF(ISNUMBER((Datos!M15-Datos!W15)/Datos!W15),(Datos!M15-Datos!W15)/Datos!W15," - ")</f>
        <v>-0.16523605150214593</v>
      </c>
      <c r="I15" s="349">
        <f>IF(ISNUMBER((Tasas!C15-Datos!BE15)/Datos!BE15),(Tasas!C15-Datos!BE15)/Datos!BE15," - ")</f>
        <v>0.37203210641481699</v>
      </c>
      <c r="J15" s="348">
        <f>IF(ISNUMBER((Tasas!D15-Datos!BF15)/Datos!BF15),(Tasas!D15-Datos!BF15)/Datos!BF15," - ")</f>
        <v>-0.10391938727892779</v>
      </c>
      <c r="K15" s="350">
        <f>IF(ISNUMBER((Tasas!E15-Datos!BG15)/Datos!BG15),(Tasas!E15-Datos!BG15)/Datos!BG15," - ")</f>
        <v>0.18541718051927311</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-0.13126079447322972</v>
      </c>
      <c r="E18" s="347">
        <f>IF(ISNUMBER(
   IF(D_I="SI",(Datos!J18-Datos!T18)/Datos!T18,(Datos!J18+Datos!AD18-(Datos!T18+Datos!AL18))/(Datos!T18+Datos!AL18))
     ),IF(D_I="SI",(Datos!J18-Datos!T18)/Datos!T18,(Datos!J18+Datos!AD18-(Datos!T18+Datos!AL18))/(Datos!T18+Datos!AL18))," - ")</f>
        <v>-0.20887245841035121</v>
      </c>
      <c r="F18" s="347">
        <f>IF(ISNUMBER(
   IF(D_I="SI",(Datos!K18-Datos!U18)/Datos!U18,(Datos!K18+Datos!AE18-(Datos!U18+Datos!AM18))/(Datos!U18+Datos!AM18))
     ),IF(D_I="SI",(Datos!K18-Datos!U18)/Datos!U18,(Datos!K18+Datos!AE18-(Datos!U18+Datos!AM18))/(Datos!U18+Datos!AM18))," - ")</f>
        <v>-8.851224105461393E-2</v>
      </c>
      <c r="G18" s="348">
        <f>IF(ISNUMBER(
   IF(D_I="SI",(Datos!L18-Datos!V18)/Datos!V18,(Datos!L18+Datos!AF18-(Datos!V18+Datos!AN18))/(Datos!V18+Datos!AN18))
     ),IF(D_I="SI",(Datos!L18-Datos!V18)/Datos!V18,(Datos!L18+Datos!AF18-(Datos!V18+Datos!AN18))/(Datos!V18+Datos!AN18))," - ")</f>
        <v>-0.25297113752122241</v>
      </c>
      <c r="H18" s="229">
        <f>IF(ISNUMBER((Datos!M18-Datos!W18)/Datos!W18),(Datos!M18-Datos!W18)/Datos!W18," - ")</f>
        <v>-0.22033898305084745</v>
      </c>
      <c r="I18" s="349">
        <f>IF(ISNUMBER((Tasas!C18-Datos!BE18)/Datos!BE18),(Tasas!C18-Datos!BE18)/Datos!BE18," - ")</f>
        <v>-0.18042907856150645</v>
      </c>
      <c r="J18" s="348">
        <f>IF(ISNUMBER((Tasas!D18-Datos!BF18)/Datos!BF18),(Tasas!D18-Datos!BF18)/Datos!BF18," - ")</f>
        <v>-0.14462809917355365</v>
      </c>
      <c r="K18" s="350">
        <f>IF(ISNUMBER((Tasas!E18-Datos!BG18)/Datos!BG18),(Tasas!E18-Datos!BG18)/Datos!BG18," - ")</f>
        <v>-8.8029442148760212E-2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0.1953175807500542</v>
      </c>
      <c r="E19" s="353">
        <f>IF(ISNUMBER(
   IF(D_I="SI",(Datos!J19-Datos!T19)/Datos!T19,(Datos!J19+Datos!AD19-(Datos!T19+Datos!AL19))/(Datos!T19+Datos!AL19))
     ),IF(D_I="SI",(Datos!J19-Datos!T19)/Datos!T19,(Datos!J19+Datos!AD19-(Datos!T19+Datos!AL19))/(Datos!T19+Datos!AL19))," - ")</f>
        <v>-2.5375268048606146E-2</v>
      </c>
      <c r="F19" s="353">
        <f>IF(ISNUMBER(
   IF(D_I="SI",(Datos!K19-Datos!U19)/Datos!U19,(Datos!K19+Datos!AE19-(Datos!U19+Datos!AM19))/(Datos!U19+Datos!AM19))
     ),IF(D_I="SI",(Datos!K19-Datos!U19)/Datos!U19,(Datos!K19+Datos!AE19-(Datos!U19+Datos!AM19))/(Datos!U19+Datos!AM19))," - ")</f>
        <v>-7.0425173253418238E-2</v>
      </c>
      <c r="G19" s="354">
        <f>IF(ISNUMBER(
   IF(D_I="SI",(Datos!L19-Datos!V19)/Datos!V19,(Datos!L19+Datos!AF19-(Datos!V19+Datos!AN19))/(Datos!V19+Datos!AN19))
     ),IF(D_I="SI",(Datos!L19-Datos!V19)/Datos!V19,(Datos!L19+Datos!AF19-(Datos!V19+Datos!AN19))/(Datos!V19+Datos!AN19))," - ")</f>
        <v>0.21494949494949495</v>
      </c>
      <c r="H19" s="355">
        <f>IF(ISNUMBER((Datos!M19-Datos!W19)/Datos!W19),(Datos!M19-Datos!W19)/Datos!W19," - ")</f>
        <v>-0.17142857142857143</v>
      </c>
      <c r="I19" s="356">
        <f>IF(ISNUMBER((Tasas!C19-Datos!BE19)/Datos!BE19),(Tasas!C19-Datos!BE19)/Datos!BE19," - ")</f>
        <v>0.306994832467329</v>
      </c>
      <c r="J19" s="354">
        <f>IF(ISNUMBER((Tasas!D19-Datos!BF19)/Datos!BF19),(Tasas!D19-Datos!BF19)/Datos!BF19," - ")</f>
        <v>-0.10865547911689362</v>
      </c>
      <c r="K19" s="357">
        <f>IF(ISNUMBER((Tasas!E19-Datos!BG19)/Datos!BG19),(Tasas!E19-Datos!BG19)/Datos!BG19," - ")</f>
        <v>0.15573930600993338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2.2051163329089015E-2</v>
      </c>
      <c r="E20" s="362">
        <f>IF(ISNUMBER(
   IF(J_V="SI",(Datos!J20-Datos!T20)/Datos!T20,(Datos!J20+Datos!Z20-(Datos!T20+Datos!AH20))/(Datos!T20+Datos!AH20))
     ),IF(J_V="SI",(Datos!J20-Datos!T20)/Datos!T20,(Datos!J20+Datos!Z20-(Datos!T20+Datos!AH20))/(Datos!T20+Datos!AH20))," - ")</f>
        <v>-0.26547480010780705</v>
      </c>
      <c r="F20" s="362">
        <f>IF(ISNUMBER(
   IF(J_V="SI",(Datos!K20-Datos!U20)/Datos!U20,(Datos!K20+Datos!AA20-(Datos!U20+Datos!AI20))/(Datos!U20+Datos!AI20))
     ),IF(J_V="SI",(Datos!K20-Datos!U20)/Datos!U20,(Datos!K20+Datos!AA20-(Datos!U20+Datos!AI20))/(Datos!U20+Datos!AI20))," - ")</f>
        <v>-0.20456466610312765</v>
      </c>
      <c r="G20" s="363">
        <f>IF(ISNUMBER(
   IF(J_V="SI",(Datos!L20-Datos!V20)/Datos!V20,(Datos!L20+Datos!AB20-(Datos!V20+Datos!AJ20))/(Datos!V20+Datos!AJ20))
     ),IF(J_V="SI",(Datos!L20-Datos!V20)/Datos!V20,(Datos!L20+Datos!AB20-(Datos!V20+Datos!AJ20))/(Datos!V20+Datos!AJ20))," - ")</f>
        <v>-3.584191717468993E-2</v>
      </c>
      <c r="H20" s="364">
        <f>IF(ISNUMBER((Datos!M20-Datos!W20)/Datos!W20),(Datos!M20-Datos!W20)/Datos!W20," - ")</f>
        <v>-0.19522776572668113</v>
      </c>
      <c r="I20" s="361">
        <f>IF(ISNUMBER((Tasas!C20-Datos!BE20)/Datos!BE20),(Tasas!C20-Datos!BE20)/Datos!BE20," - ")</f>
        <v>0.21211372155402958</v>
      </c>
      <c r="J20" s="362">
        <f>IF(ISNUMBER((Tasas!D20-Datos!BF20)/Datos!BF20),(Tasas!D20-Datos!BF20)/Datos!BF20," - ")</f>
        <v>-0.45576281842226979</v>
      </c>
      <c r="K20" s="363">
        <f>IF(ISNUMBER((Tasas!E20-Datos!BG20)/Datos!BG20),(Tasas!E20-Datos!BG20)/Datos!BG20," - ")</f>
        <v>0.14326692731707927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0.16618245208254107</v>
      </c>
      <c r="E22" s="277">
        <f t="shared" si="1"/>
        <v>0.10456084919875736</v>
      </c>
      <c r="F22" s="277">
        <f t="shared" si="1"/>
        <v>8.0072098318064291E-2</v>
      </c>
      <c r="G22" s="278">
        <f t="shared" si="1"/>
        <v>0.23688833294344297</v>
      </c>
      <c r="H22" s="284">
        <f t="shared" si="1"/>
        <v>2.4974210107683973E-2</v>
      </c>
      <c r="I22" s="276">
        <f t="shared" si="1"/>
        <v>0.25041321783306425</v>
      </c>
      <c r="J22" s="277">
        <f t="shared" si="1"/>
        <v>0.17204507741782163</v>
      </c>
      <c r="K22" s="278">
        <f t="shared" si="1"/>
        <v>0.16484658741767344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Knzpv7/S8Nz6oY9EXtQOKIHwDozIikdaf6TEQdntk7aL6X45LD2SQ5PuDm0uRRCTj8Rx2aVAU8oNgoouSYySg==" saltValue="9Mx8cg6uujevcGQZ5CE9L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